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3.vml" ContentType="application/vnd.openxmlformats-officedocument.vmlDrawing"/>
  <Override PartName="/xl/drawings/drawing2.xml" ContentType="application/vnd.openxmlformats-officedocument.drawing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_rels/workbook.xml.rels" ContentType="application/vnd.openxmlformats-package.relationships+xml"/>
  <Override PartName="/xl/media/image1.png" ContentType="image/png"/>
  <Override PartName="/xl/comments4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omments5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apak" sheetId="1" state="visible" r:id="rId3"/>
    <sheet name="Dashboard" sheetId="2" state="visible" r:id="rId4"/>
    <sheet name="İzin Kayıtları" sheetId="3" state="visible" r:id="rId5"/>
    <sheet name="Personel" sheetId="4" state="visible" r:id="rId6"/>
    <sheet name="Listeler" sheetId="5" state="visible" r:id="rId7"/>
    <sheet name="Nasıl kullanılır" sheetId="6" state="visible" r:id="rId8"/>
    <sheet name="Hesap" sheetId="7" state="hidden" r:id="rId9"/>
  </sheets>
  <definedNames>
    <definedName function="false" hidden="false" localSheetId="2" name="_xlnm.Print_Titles" vbProcedure="false">'İzin Kayıtları'!$1:$5</definedName>
    <definedName function="false" hidden="false" localSheetId="0" name="_xlnm.Print_Area" vbProcedure="false">Kapak!$A$1:$N$40</definedName>
    <definedName function="false" hidden="false" localSheetId="4" name="_xlnm.Print_Titles" vbProcedure="false">Listeler!$1:$5</definedName>
    <definedName function="false" hidden="false" localSheetId="3" name="_xlnm.Print_Titles" vbProcedure="false">Personel!$1:$5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H5" authorId="0">
      <text>
        <r>
          <rPr>
            <sz val="10"/>
            <rFont val="Arial"/>
            <family val="2"/>
          </rPr>
          <t xml:space="preserve">Bitiş − başlangıç + 1, pazar günleri düşülmüş. Cumartesi de tatilse formülü NETWORKDAYS ile değiştirin.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H5" authorId="0">
      <text>
        <r>
          <rPr>
            <sz val="10"/>
            <rFont val="Arial"/>
            <family val="2"/>
          </rPr>
          <t xml:space="preserve">Önceki yıllardan devreden kullanılmamış izin günü. Yıl başında bir kez girin.</t>
        </r>
      </text>
    </comment>
  </commentList>
</comments>
</file>

<file path=xl/comments5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20" authorId="0">
      <text>
        <r>
          <rPr>
            <sz val="10"/>
            <rFont val="Arial"/>
            <family val="2"/>
          </rPr>
          <t xml:space="preserve">Dashboard filtresi için sabit seçenek; silmeyin.</t>
        </r>
      </text>
    </comment>
    <comment ref="F5" authorId="0">
      <text>
        <r>
          <rPr>
            <sz val="10"/>
            <rFont val="Arial"/>
            <family val="2"/>
          </rPr>
          <t xml:space="preserve">Dashboard "bugün" hesabı bu tarihe göre yapılır. Sabit bir tarih yazarsanız o güne göre raporlar.</t>
        </r>
      </text>
    </comment>
    <comment ref="F8" authorId="0">
      <text>
        <r>
          <rPr>
            <sz val="10"/>
            <rFont val="Arial"/>
            <family val="2"/>
          </rPr>
          <t xml:space="preserve">4857 sayılı İş Kanunu md. 53: 1–5 yıl 14 gün, 5–15 yıl 20 gün, 15+ yıl 26 gün. 18 yaş altı ve 50 yaş üstü için en az 20 gün; toplu sözleşme farklı olabilir.</t>
        </r>
      </text>
    </comment>
  </commentList>
</comments>
</file>

<file path=xl/sharedStrings.xml><?xml version="1.0" encoding="utf-8"?>
<sst xmlns="http://schemas.openxmlformats.org/spreadsheetml/2006/main" count="493" uniqueCount="210">
  <si>
    <t xml:space="preserve">İzin Takip</t>
  </si>
  <si>
    <t xml:space="preserve">Yıllık izin, rapor ve diğer izinler · personel bazlı kalan izin · bölüm panosu</t>
  </si>
  <si>
    <t xml:space="preserve">TAKMOS ücretsiz şablon · v3 · 2026</t>
  </si>
  <si>
    <t xml:space="preserve">Personel listesi ve izin kayıtlarından beslenen, bölüm filtreli bir izin yönetimi panosu. Kıdeme göre hak ediş (14/20/26 gün), kullanılan ve kalan izin, bugün izinde olanlar, onay bekleyen talepler ve biriken izin uyarıları otomatik hesaplanır. 300 izin kaydı ve 80 personel kapasitesi; satır kopyalayarak büyütülebilir.</t>
  </si>
  <si>
    <t xml:space="preserve">İÇINDEKILER</t>
  </si>
  <si>
    <t xml:space="preserve">NASIL BAŞLANIR</t>
  </si>
  <si>
    <t xml:space="preserve">→  Dashboard</t>
  </si>
  <si>
    <t xml:space="preserve">KPI kutuları, aylık ve bölüm grafikleri, bölüm filtresi</t>
  </si>
  <si>
    <t xml:space="preserve">1.  Listeler sayfasında bölümlerinizi ve izin türlerini yazın.</t>
  </si>
  <si>
    <t xml:space="preserve">→  İzin Kayıtları</t>
  </si>
  <si>
    <t xml:space="preserve">Her talep bir satır; sicil seçilir, gün sayısı hesaplanır</t>
  </si>
  <si>
    <t xml:space="preserve">2.  Personel sayfasına çalışanları ve işe giriş tarihlerini girin; hak ediş otomatik gelir.</t>
  </si>
  <si>
    <t xml:space="preserve">→  Personel</t>
  </si>
  <si>
    <t xml:space="preserve">Kim, hangi bölüm, işe giriş, devreden ve kalan izin</t>
  </si>
  <si>
    <t xml:space="preserve">3.  Her izin talebini İzin Kayıtları sayfasına ekleyin; onaylananlar kalan izinden düşer.</t>
  </si>
  <si>
    <t xml:space="preserve">→  Listeler</t>
  </si>
  <si>
    <t xml:space="preserve">Bölümler, izin türleri, hak ediş parametreleri</t>
  </si>
  <si>
    <t xml:space="preserve">4.  Dashboard sayfasında bölüm filtresini seçin, grafikler ve KPI'lar anında güncellenir.</t>
  </si>
  <si>
    <t xml:space="preserve">→  Nasıl kullanılır</t>
  </si>
  <si>
    <t xml:space="preserve">Adım adım kurulum ve yasal hatırlatmalar</t>
  </si>
  <si>
    <t xml:space="preserve">Sarı hücre: siz girersiniz</t>
  </si>
  <si>
    <t xml:space="preserve">Sayfalar şifresiz korumalıdır: yalnız sarı hücreler düzenlenir, formüller bozulmaz. Korumayı kaldırmak için sayfa sekmesine sağ tıklayın → Sayfa korumasını kaldır.</t>
  </si>
  <si>
    <t xml:space="preserve">Beyaz hücre: formül (kilitli)</t>
  </si>
  <si>
    <t xml:space="preserve">Yeşil: hedef sağlanıyor</t>
  </si>
  <si>
    <t xml:space="preserve">Sarı: dikkat</t>
  </si>
  <si>
    <t xml:space="preserve">Kırmızı: eksik / süresi dolmuş</t>
  </si>
  <si>
    <t xml:space="preserve">Daha fazla şablon, rehber yazıları ve TAKMOS İK Modülü demosu: takmoserp.com/sablonlar</t>
  </si>
  <si>
    <t xml:space="preserve">İzin Takip Panosu</t>
  </si>
  <si>
    <t xml:space="preserve">TAKMOS</t>
  </si>
  <si>
    <t xml:space="preserve">Yıllık izin, rapor ve diğer izinler · personel bazlı kalan izin · bölüm ve ay dağılımı</t>
  </si>
  <si>
    <t xml:space="preserve">takmoserp.com · ücretsiz şablon</t>
  </si>
  <si>
    <t xml:space="preserve">Dashboard</t>
  </si>
  <si>
    <t xml:space="preserve">·  İzin Kayıtları</t>
  </si>
  <si>
    <t xml:space="preserve">·  Personel</t>
  </si>
  <si>
    <t xml:space="preserve">·  Listeler</t>
  </si>
  <si>
    <t xml:space="preserve">·  Nasıl kullanılır</t>
  </si>
  <si>
    <t xml:space="preserve">Bölüm filtresi</t>
  </si>
  <si>
    <t xml:space="preserve">Tümü</t>
  </si>
  <si>
    <t xml:space="preserve">Rapor tarihi</t>
  </si>
  <si>
    <t xml:space="preserve">Personel</t>
  </si>
  <si>
    <t xml:space="preserve">Bugün izinde</t>
  </si>
  <si>
    <t xml:space="preserve">Onay bekleyen</t>
  </si>
  <si>
    <t xml:space="preserve">Bu ay kullanılan</t>
  </si>
  <si>
    <t xml:space="preserve">Kalan yıllık izin</t>
  </si>
  <si>
    <t xml:space="preserve">Biriken izin uyarısı</t>
  </si>
  <si>
    <t xml:space="preserve">kayıtlı çalışan</t>
  </si>
  <si>
    <t xml:space="preserve">onaylı izin / rapor</t>
  </si>
  <si>
    <t xml:space="preserve">talep</t>
  </si>
  <si>
    <t xml:space="preserve">gün · toplam yükümlülük</t>
  </si>
  <si>
    <t xml:space="preserve">BÖLÜM ÖZETI</t>
  </si>
  <si>
    <t xml:space="preserve">Bölüm</t>
  </si>
  <si>
    <t xml:space="preserve">Kişi</t>
  </si>
  <si>
    <t xml:space="preserve">Kullanılan</t>
  </si>
  <si>
    <t xml:space="preserve">Kalan</t>
  </si>
  <si>
    <t xml:space="preserve">KIDEM GRUBUNA GÖRE IZIN HAKKI</t>
  </si>
  <si>
    <t xml:space="preserve">Kıdem</t>
  </si>
  <si>
    <t xml:space="preserve">Yıllık hak</t>
  </si>
  <si>
    <t xml:space="preserve">BUGÜN IZINDE OLANLAR (ILK 10)</t>
  </si>
  <si>
    <t xml:space="preserve">Ad Soyad</t>
  </si>
  <si>
    <t xml:space="preserve">İzin türü</t>
  </si>
  <si>
    <t xml:space="preserve">Dönüş</t>
  </si>
  <si>
    <t xml:space="preserve">Liste onaylı ve bugünü kapsayan kayıtlardan otomatik oluşur; 10'dan fazlaysa İzin Kayıtları sayfasında mavi satırlara bakın.</t>
  </si>
  <si>
    <t xml:space="preserve">TAKMOS ücretsiz şablon · takmoserp.com · Örnek veriler kurgusaldır; kendi verinizle değiştirin.</t>
  </si>
  <si>
    <t xml:space="preserve">İzin Kayıtları</t>
  </si>
  <si>
    <t xml:space="preserve">Her izin talebi bir satır · sicil seçin, ad ve bölüm otomatik gelir · gün sayısı pazar hariç hesaplanır</t>
  </si>
  <si>
    <t xml:space="preserve">Sarı hücreler girilir · beyaz hücreler formüldür, dokunmayın · satır eklemek için mevcut bir satırı kopyalayın</t>
  </si>
  <si>
    <t xml:space="preserve">No</t>
  </si>
  <si>
    <t xml:space="preserve">Sicil</t>
  </si>
  <si>
    <t xml:space="preserve">Başlangıç</t>
  </si>
  <si>
    <t xml:space="preserve">Bitiş</t>
  </si>
  <si>
    <t xml:space="preserve">Gün</t>
  </si>
  <si>
    <t xml:space="preserve">Durum</t>
  </si>
  <si>
    <t xml:space="preserve">Açıklama</t>
  </si>
  <si>
    <t xml:space="preserve">Yıl</t>
  </si>
  <si>
    <t xml:space="preserve">Ay</t>
  </si>
  <si>
    <t xml:space="preserve">P-109</t>
  </si>
  <si>
    <t xml:space="preserve">Rapor</t>
  </si>
  <si>
    <t xml:space="preserve">Onaylandı</t>
  </si>
  <si>
    <t xml:space="preserve">P-120</t>
  </si>
  <si>
    <t xml:space="preserve">Yıllık izin</t>
  </si>
  <si>
    <t xml:space="preserve">P-117</t>
  </si>
  <si>
    <t xml:space="preserve">P-124</t>
  </si>
  <si>
    <t xml:space="preserve">P-125</t>
  </si>
  <si>
    <t xml:space="preserve">P-103</t>
  </si>
  <si>
    <t xml:space="preserve">P-101</t>
  </si>
  <si>
    <t xml:space="preserve">P-108</t>
  </si>
  <si>
    <t xml:space="preserve">P-121</t>
  </si>
  <si>
    <t xml:space="preserve">P-113</t>
  </si>
  <si>
    <t xml:space="preserve">P-106</t>
  </si>
  <si>
    <t xml:space="preserve">P-114</t>
  </si>
  <si>
    <t xml:space="preserve">Mazeret izni</t>
  </si>
  <si>
    <t xml:space="preserve">P-122</t>
  </si>
  <si>
    <t xml:space="preserve">P-105</t>
  </si>
  <si>
    <t xml:space="preserve">P-107</t>
  </si>
  <si>
    <t xml:space="preserve">P-115</t>
  </si>
  <si>
    <t xml:space="preserve">P-123</t>
  </si>
  <si>
    <t xml:space="preserve">P-102</t>
  </si>
  <si>
    <t xml:space="preserve">P-119</t>
  </si>
  <si>
    <t xml:space="preserve">Ücretsiz izin</t>
  </si>
  <si>
    <t xml:space="preserve">P-118</t>
  </si>
  <si>
    <t xml:space="preserve">P-104</t>
  </si>
  <si>
    <t xml:space="preserve">P-112</t>
  </si>
  <si>
    <t xml:space="preserve">Bekliyor</t>
  </si>
  <si>
    <t xml:space="preserve">Personel ve İzin Hakları</t>
  </si>
  <si>
    <t xml:space="preserve">Sarı sütunları doldurun; kıdem, hak ediş, kullanılan ve kalan izin otomatik hesaplanır</t>
  </si>
  <si>
    <t xml:space="preserve">Pozisyon</t>
  </si>
  <si>
    <t xml:space="preserve">İşe giriş</t>
  </si>
  <si>
    <t xml:space="preserve">Kıdem (yıl)</t>
  </si>
  <si>
    <t xml:space="preserve">Yıllık hak (gün)</t>
  </si>
  <si>
    <t xml:space="preserve">Devreden (gün)</t>
  </si>
  <si>
    <t xml:space="preserve">Kullanılan (bu yıl)</t>
  </si>
  <si>
    <t xml:space="preserve">Kalan (gün)</t>
  </si>
  <si>
    <t xml:space="preserve">Ayşe Demir</t>
  </si>
  <si>
    <t xml:space="preserve">Enjeksiyon</t>
  </si>
  <si>
    <t xml:space="preserve">Kıdemli operatör</t>
  </si>
  <si>
    <t xml:space="preserve">Mehmet Kaya</t>
  </si>
  <si>
    <t xml:space="preserve">Operatör</t>
  </si>
  <si>
    <t xml:space="preserve">Elif Yıldız</t>
  </si>
  <si>
    <t xml:space="preserve">Takım lideri</t>
  </si>
  <si>
    <t xml:space="preserve">Burak Çelik</t>
  </si>
  <si>
    <t xml:space="preserve">Montaj</t>
  </si>
  <si>
    <t xml:space="preserve">Zeynep Arslan</t>
  </si>
  <si>
    <t xml:space="preserve">Emre Şahin</t>
  </si>
  <si>
    <t xml:space="preserve">Merve Koç</t>
  </si>
  <si>
    <t xml:space="preserve">Can Aydın</t>
  </si>
  <si>
    <t xml:space="preserve">Kalite</t>
  </si>
  <si>
    <t xml:space="preserve">Kalite kontrol</t>
  </si>
  <si>
    <t xml:space="preserve">Selin Öztürk</t>
  </si>
  <si>
    <t xml:space="preserve">P-110</t>
  </si>
  <si>
    <t xml:space="preserve">Murat Doğan</t>
  </si>
  <si>
    <t xml:space="preserve">Bakım</t>
  </si>
  <si>
    <t xml:space="preserve">Elektrikçi</t>
  </si>
  <si>
    <t xml:space="preserve">P-111</t>
  </si>
  <si>
    <t xml:space="preserve">Derya Kurt</t>
  </si>
  <si>
    <t xml:space="preserve">Depo</t>
  </si>
  <si>
    <t xml:space="preserve">Forklift operatörü</t>
  </si>
  <si>
    <t xml:space="preserve">Okan Yılmaz</t>
  </si>
  <si>
    <t xml:space="preserve">Gamze Polat</t>
  </si>
  <si>
    <t xml:space="preserve">Planlama</t>
  </si>
  <si>
    <t xml:space="preserve">Planlama uzmanı</t>
  </si>
  <si>
    <t xml:space="preserve">Serkan Acar</t>
  </si>
  <si>
    <t xml:space="preserve">Büşra Erdem</t>
  </si>
  <si>
    <t xml:space="preserve">P-116</t>
  </si>
  <si>
    <t xml:space="preserve">Tolga Güneş</t>
  </si>
  <si>
    <t xml:space="preserve">Nur Aksoy</t>
  </si>
  <si>
    <t xml:space="preserve">Kerem Uçar</t>
  </si>
  <si>
    <t xml:space="preserve">Kalite mühendisi</t>
  </si>
  <si>
    <t xml:space="preserve">Pınar Tekin</t>
  </si>
  <si>
    <t xml:space="preserve">Bakımcı</t>
  </si>
  <si>
    <t xml:space="preserve">Barış Kılıç</t>
  </si>
  <si>
    <t xml:space="preserve">Ece Karaca</t>
  </si>
  <si>
    <t xml:space="preserve">Onur Bozkurt</t>
  </si>
  <si>
    <t xml:space="preserve">Sibel Taş</t>
  </si>
  <si>
    <t xml:space="preserve">Volkan Ergin</t>
  </si>
  <si>
    <t xml:space="preserve">Hande Yavuz</t>
  </si>
  <si>
    <t xml:space="preserve">Listeler</t>
  </si>
  <si>
    <t xml:space="preserve">Açılır listelerin kaynağı — bölüm ve izin türlerini burada düzenleyin</t>
  </si>
  <si>
    <t xml:space="preserve">Parametre</t>
  </si>
  <si>
    <t xml:space="preserve">Değer</t>
  </si>
  <si>
    <t xml:space="preserve">Reddedildi</t>
  </si>
  <si>
    <t xml:space="preserve">Yıl başı</t>
  </si>
  <si>
    <t xml:space="preserve">Hak ediş: 1–5 yıl (gün)</t>
  </si>
  <si>
    <t xml:space="preserve">Babalık/Analık</t>
  </si>
  <si>
    <t xml:space="preserve">Hak ediş: 5–15 yıl (gün)</t>
  </si>
  <si>
    <t xml:space="preserve">Evlilik/Ölüm</t>
  </si>
  <si>
    <t xml:space="preserve">Hak ediş: 15+ yıl (gün)</t>
  </si>
  <si>
    <t xml:space="preserve">Biriken izin uyarı eşiği (gün)</t>
  </si>
  <si>
    <t xml:space="preserve">Nasıl kullanılır</t>
  </si>
  <si>
    <t xml:space="preserve">TAKMOS · takmoserp.com</t>
  </si>
  <si>
    <t xml:space="preserve">Yıllık izin takip şablonu</t>
  </si>
  <si>
    <t xml:space="preserve">Üç veri sayfası ve bir pano: Personel (kim, hangi bölüm, işe giriş, devreden izin), İzin Kayıtları (her talep bir satır) ve Listeler (bölümler, izin türleri, hak ediş parametreleri). Dashboard bunlardan beslenir.</t>
  </si>
  <si>
    <t xml:space="preserve">Adımlar</t>
  </si>
  <si>
    <t xml:space="preserve">1. Listeler sayfasında bölümlerinizi ve izin türlerini düzenleyin; yıllık izin hak ediş günleri (14/20/26) toplu sözleşmenize göre değişiyorsa F8–F10 hücrelerini değiştirin.</t>
  </si>
  <si>
    <t xml:space="preserve">2. Personel sayfasında sarı sütunları doldurun: sicil, ad, bölüm (açılır liste), pozisyon, işe giriş tarihi ve önceki yıllardan devreden izin günü. Kıdem, hak ediş, kullanılan ve kalan izin otomatik hesaplanır.</t>
  </si>
  <si>
    <t xml:space="preserve">3. Her izin talebini İzin Kayıtları sayfasına girin: sicil (açılır liste), izin türü, başlangıç, bitiş, durum. Ad ve bölüm otomatik gelir; gün sayısı pazar günleri düşülerek hesaplanır. Onaylanmayan talepler ("Bekliyor") kalan izinden düşülmez.</t>
  </si>
  <si>
    <t xml:space="preserve">4. Dashboard sayfasında bugün izinde olan sayısı, onay bekleyenler, bu ay kullanılan gün, toplam kalan izin, biriken izin uyarısı; aylık ve bölüm grafikleri otomatik güncellenir.</t>
  </si>
  <si>
    <t xml:space="preserve">5. Yeni yıl geçişinde: Personel sayfasındaki "Kalan" değerlerini "Devreden" sütununa yazın; İzin Kayıtları sayfasını silmeyin, yıl sütunu sayesinde geçmiş yıllar raporlanabilir.</t>
  </si>
  <si>
    <t xml:space="preserve">Yasal hatırlatma</t>
  </si>
  <si>
    <t xml:space="preserve">Yıllık izin en az 1 yıl çalışmış işçiye verilir; bölünerek kullanılabilir ancak bir parçası 10 günden az olamaz. İzin ücreti peşin ödenir. Yıllık izin kayıt belgesi tutmak işverenin yükümlülüğüdür; bu dosya o kaydın yerine geçer.</t>
  </si>
  <si>
    <t xml:space="preserve">Renk anahtarı</t>
  </si>
  <si>
    <t xml:space="preserve">Açık sarı hücreler: siz doldurursunuz</t>
  </si>
  <si>
    <t xml:space="preserve">Beyaz hücreler: formül — dokunmayın</t>
  </si>
  <si>
    <t xml:space="preserve">Yeşil: hedef sağlanıyor / geçerli</t>
  </si>
  <si>
    <t xml:space="preserve">Sarı: dikkat / yaklaşıyor</t>
  </si>
  <si>
    <t xml:space="preserve">Dashboard sayfasındaki sayılar ve grafikler veri girişi sayfalarından otomatik beslenir; dosyayı açınca F9 ile yeniden hesaplatabilirsiniz. Daha fazla şablon ve rehber: takmoserp.com/sablonlar</t>
  </si>
  <si>
    <t xml:space="preserve">Yıllık izin (gün)</t>
  </si>
  <si>
    <t xml:space="preserve">Rapor (gün)</t>
  </si>
  <si>
    <t xml:space="preserve">Diğer (gün)</t>
  </si>
  <si>
    <t xml:space="preserve">Kullanılan (gün)</t>
  </si>
  <si>
    <t xml:space="preserve">Kayıt</t>
  </si>
  <si>
    <t xml:space="preserve">Kalan+tie</t>
  </si>
  <si>
    <t xml:space="preserve">Sıra</t>
  </si>
  <si>
    <t xml:space="preserve">Kıdem grubu</t>
  </si>
  <si>
    <t xml:space="preserve">Hak (gün)</t>
  </si>
  <si>
    <t xml:space="preserve">Oca</t>
  </si>
  <si>
    <t xml:space="preserve">0–1 yıl</t>
  </si>
  <si>
    <t xml:space="preserve">Şub</t>
  </si>
  <si>
    <t xml:space="preserve">1–5 yıl</t>
  </si>
  <si>
    <t xml:space="preserve">Mar</t>
  </si>
  <si>
    <t xml:space="preserve">5–15 yıl</t>
  </si>
  <si>
    <t xml:space="preserve">Nis</t>
  </si>
  <si>
    <t xml:space="preserve">15+ yıl</t>
  </si>
  <si>
    <t xml:space="preserve">May</t>
  </si>
  <si>
    <t xml:space="preserve">Haz</t>
  </si>
  <si>
    <t xml:space="preserve">Tem</t>
  </si>
  <si>
    <t xml:space="preserve">Ağu</t>
  </si>
  <si>
    <t xml:space="preserve">Eyl</t>
  </si>
  <si>
    <t xml:space="preserve">Eki</t>
  </si>
  <si>
    <t xml:space="preserve">Kas</t>
  </si>
  <si>
    <t xml:space="preserve">Ara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</si>
</sst>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.mm\.yyyy"/>
    <numFmt numFmtId="166" formatCode="0"/>
    <numFmt numFmtId="167" formatCode="#,##0"/>
    <numFmt numFmtId="168" formatCode="General"/>
  </numFmts>
  <fonts count="3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6"/>
      <color rgb="FFFFFFFF"/>
      <name val="Arial"/>
      <family val="0"/>
      <charset val="1"/>
    </font>
    <font>
      <sz val="11"/>
      <color rgb="FFFDBA74"/>
      <name val="Arial"/>
      <family val="0"/>
      <charset val="1"/>
    </font>
    <font>
      <sz val="9"/>
      <color rgb="FF94A3B8"/>
      <name val="Arial"/>
      <family val="0"/>
      <charset val="1"/>
    </font>
    <font>
      <sz val="11"/>
      <color rgb="FFE2E8F0"/>
      <name val="Arial"/>
      <family val="0"/>
      <charset val="1"/>
    </font>
    <font>
      <b val="true"/>
      <sz val="9"/>
      <color rgb="FFC2410C"/>
      <name val="Arial"/>
      <family val="0"/>
      <charset val="1"/>
    </font>
    <font>
      <b val="true"/>
      <sz val="11"/>
      <color rgb="FF1B2836"/>
      <name val="Arial"/>
      <family val="0"/>
      <charset val="1"/>
    </font>
    <font>
      <sz val="9"/>
      <color rgb="FF475569"/>
      <name val="Arial"/>
      <family val="0"/>
      <charset val="1"/>
    </font>
    <font>
      <sz val="10"/>
      <color rgb="FF1B2836"/>
      <name val="Arial"/>
      <family val="0"/>
      <charset val="1"/>
    </font>
    <font>
      <i val="true"/>
      <sz val="9"/>
      <color rgb="FF475569"/>
      <name val="Arial"/>
      <family val="0"/>
      <charset val="1"/>
    </font>
    <font>
      <u val="single"/>
      <sz val="10"/>
      <color rgb="FFC2410C"/>
      <name val="Arial"/>
      <family val="0"/>
      <charset val="1"/>
    </font>
    <font>
      <b val="true"/>
      <sz val="18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0"/>
      <color rgb="FFFDBA74"/>
      <name val="Arial"/>
      <family val="0"/>
      <charset val="1"/>
    </font>
    <font>
      <sz val="8"/>
      <color rgb="FF94A3B8"/>
      <name val="Arial"/>
      <family val="0"/>
      <charset val="1"/>
    </font>
    <font>
      <b val="true"/>
      <sz val="9"/>
      <color rgb="FF64748B"/>
      <name val="Arial"/>
      <family val="0"/>
      <charset val="1"/>
    </font>
    <font>
      <sz val="9"/>
      <color rgb="FFC2410C"/>
      <name val="Arial"/>
      <family val="0"/>
      <charset val="1"/>
    </font>
    <font>
      <b val="true"/>
      <sz val="10"/>
      <color rgb="FF1B2836"/>
      <name val="Arial"/>
      <family val="0"/>
      <charset val="1"/>
    </font>
    <font>
      <sz val="9"/>
      <color rgb="FF64748B"/>
      <name val="Arial"/>
      <family val="0"/>
      <charset val="1"/>
    </font>
    <font>
      <b val="true"/>
      <sz val="9"/>
      <color rgb="FF1B2836"/>
      <name val="Arial"/>
      <family val="0"/>
      <charset val="1"/>
    </font>
    <font>
      <b val="true"/>
      <sz val="26"/>
      <color rgb="FF1B2836"/>
      <name val="Arial"/>
      <family val="0"/>
      <charset val="1"/>
    </font>
    <font>
      <b val="true"/>
      <sz val="26"/>
      <color rgb="FFC2410C"/>
      <name val="Arial"/>
      <family val="0"/>
      <charset val="1"/>
    </font>
    <font>
      <sz val="8"/>
      <color rgb="FF64748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1B2836"/>
      <name val="Arial"/>
      <family val="0"/>
      <charset val="1"/>
    </font>
    <font>
      <i val="true"/>
      <sz val="8"/>
      <color rgb="FF64748B"/>
      <name val="Arial"/>
      <family val="0"/>
      <charset val="1"/>
    </font>
    <font>
      <i val="true"/>
      <sz val="9"/>
      <color rgb="FF64748B"/>
      <name val="Arial"/>
      <family val="0"/>
      <charset val="1"/>
    </font>
    <font>
      <b val="true"/>
      <sz val="11.5"/>
      <color rgb="FF1B2836"/>
      <name val="Arial"/>
      <family val="2"/>
    </font>
    <font>
      <sz val="8"/>
      <color rgb="FF475569"/>
      <name val="Arial"/>
      <family val="2"/>
    </font>
    <font>
      <b val="true"/>
      <sz val="8"/>
      <color rgb="FFFFFFFF"/>
      <name val="Arial"/>
      <family val="2"/>
    </font>
    <font>
      <sz val="8"/>
      <color rgb="FF1B2836"/>
      <name val="Arial"/>
      <family val="2"/>
    </font>
    <font>
      <sz val="10"/>
      <color rgb="FF64748B"/>
      <name val="Arial"/>
      <family val="0"/>
      <charset val="1"/>
    </font>
    <font>
      <sz val="10"/>
      <name val="Arial"/>
      <family val="2"/>
    </font>
    <font>
      <b val="true"/>
      <sz val="11"/>
      <color rgb="FFC2410C"/>
      <name val="Arial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1B2836"/>
        <bgColor rgb="FF243447"/>
      </patternFill>
    </fill>
    <fill>
      <patternFill patternType="solid">
        <fgColor rgb="FFFFFFFF"/>
        <bgColor rgb="FFF8FAFC"/>
      </patternFill>
    </fill>
    <fill>
      <patternFill patternType="solid">
        <fgColor rgb="FFFFFBEA"/>
        <bgColor rgb="FFFFF4ED"/>
      </patternFill>
    </fill>
    <fill>
      <patternFill patternType="solid">
        <fgColor rgb="FFDCFCE7"/>
        <bgColor rgb="FFEFF6FF"/>
      </patternFill>
    </fill>
    <fill>
      <patternFill patternType="solid">
        <fgColor rgb="FFFEF3C7"/>
        <bgColor rgb="FFFFF4ED"/>
      </patternFill>
    </fill>
    <fill>
      <patternFill patternType="solid">
        <fgColor rgb="FFFEE2E2"/>
        <bgColor rgb="FFFFF4ED"/>
      </patternFill>
    </fill>
    <fill>
      <patternFill patternType="solid">
        <fgColor rgb="FFC2410C"/>
        <bgColor rgb="FF92400E"/>
      </patternFill>
    </fill>
    <fill>
      <patternFill patternType="solid">
        <fgColor rgb="FFF4F6F8"/>
        <bgColor rgb="FFEFF6FF"/>
      </patternFill>
    </fill>
    <fill>
      <patternFill patternType="solid">
        <fgColor rgb="FF243447"/>
        <bgColor rgb="FF1B2836"/>
      </patternFill>
    </fill>
  </fills>
  <borders count="9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BD5E1"/>
      </bottom>
      <diagonal/>
    </border>
    <border diagonalUp="false" diagonalDown="false"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 diagonalUp="false" diagonalDown="false">
      <left style="thick">
        <color rgb="FF243447"/>
      </left>
      <right style="thin">
        <color rgb="FFE2E8F0"/>
      </right>
      <top style="thin">
        <color rgb="FFE2E8F0"/>
      </top>
      <bottom/>
      <diagonal/>
    </border>
    <border diagonalUp="false" diagonalDown="false">
      <left style="thick">
        <color rgb="FFC2410C"/>
      </left>
      <right style="thin">
        <color rgb="FFE2E8F0"/>
      </right>
      <top style="thin">
        <color rgb="FFE2E8F0"/>
      </top>
      <bottom/>
      <diagonal/>
    </border>
    <border diagonalUp="false" diagonalDown="false">
      <left style="thick">
        <color rgb="FF243447"/>
      </left>
      <right style="thin">
        <color rgb="FFE2E8F0"/>
      </right>
      <top/>
      <bottom/>
      <diagonal/>
    </border>
    <border diagonalUp="false" diagonalDown="false">
      <left style="thick">
        <color rgb="FFC2410C"/>
      </left>
      <right style="thin">
        <color rgb="FFE2E8F0"/>
      </right>
      <top/>
      <bottom/>
      <diagonal/>
    </border>
    <border diagonalUp="false" diagonalDown="false">
      <left style="thick">
        <color rgb="FF243447"/>
      </left>
      <right style="thin">
        <color rgb="FFE2E8F0"/>
      </right>
      <top/>
      <bottom style="thin">
        <color rgb="FFE2E8F0"/>
      </bottom>
      <diagonal/>
    </border>
    <border diagonalUp="false" diagonalDown="false">
      <left style="thick">
        <color rgb="FFC2410C"/>
      </left>
      <right style="thin">
        <color rgb="FFE2E8F0"/>
      </right>
      <top/>
      <bottom style="thin">
        <color rgb="FFE2E8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4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3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3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8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5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6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7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0" fillId="9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9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9" fillId="9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9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20" fillId="4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1" fillId="9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22" fillId="9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3" borderId="3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8" fillId="3" borderId="4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6" fontId="23" fillId="3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24" fillId="3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23" fillId="3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5" fillId="3" borderId="7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4" fontId="25" fillId="3" borderId="8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4" fontId="8" fillId="9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6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2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2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2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9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9" fillId="9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3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4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11" fillId="4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2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2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2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9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0" fillId="4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3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ont>
        <name val="Arial"/>
        <charset val="1"/>
        <family val="0"/>
        <b val="1"/>
        <color rgb="FFB91C1C"/>
        <sz val="8"/>
      </font>
    </dxf>
    <dxf>
      <font>
        <name val="Arial"/>
        <charset val="1"/>
        <family val="0"/>
        <b val="1"/>
        <color rgb="FF15803D"/>
        <sz val="8"/>
      </font>
    </dxf>
    <dxf>
      <font>
        <name val="Arial"/>
        <charset val="1"/>
        <family val="0"/>
        <b val="1"/>
        <color rgb="FFC2410C"/>
      </font>
      <fill>
        <patternFill>
          <bgColor rgb="FFFFF4ED"/>
        </patternFill>
      </fill>
    </dxf>
    <dxf>
      <fill>
        <patternFill>
          <bgColor rgb="FFF8FAFC"/>
        </patternFill>
      </fill>
    </dxf>
    <dxf>
      <font>
        <name val="Arial"/>
        <charset val="1"/>
        <family val="0"/>
        <b val="1"/>
        <color rgb="FF15803D"/>
      </font>
      <fill>
        <patternFill>
          <bgColor rgb="FFDCFCE7"/>
        </patternFill>
      </fill>
    </dxf>
    <dxf>
      <font>
        <name val="Arial"/>
        <charset val="1"/>
        <family val="0"/>
        <b val="1"/>
        <color rgb="FF92400E"/>
      </font>
      <fill>
        <patternFill>
          <bgColor rgb="FFFEF3C7"/>
        </patternFill>
      </fill>
    </dxf>
    <dxf>
      <font>
        <name val="Arial"/>
        <charset val="1"/>
        <family val="0"/>
        <b val="1"/>
        <color rgb="FFB91C1C"/>
      </font>
      <fill>
        <patternFill>
          <bgColor rgb="FFFEE2E2"/>
        </patternFill>
      </fill>
    </dxf>
    <dxf>
      <fill>
        <patternFill>
          <bgColor rgb="FFEFF6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5803D"/>
      <rgbColor rgb="FF000080"/>
      <rgbColor rgb="FF808000"/>
      <rgbColor rgb="FF800080"/>
      <rgbColor rgb="FF008080"/>
      <rgbColor rgb="FFFEE2E2"/>
      <rgbColor rgb="FF4F81BD"/>
      <rgbColor rgb="FF9999FF"/>
      <rgbColor rgb="FFB91C1C"/>
      <rgbColor rgb="FFFEF3C7"/>
      <rgbColor rgb="FFDCFCE7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FF6FF"/>
      <rgbColor rgb="FFE2E8F0"/>
      <rgbColor rgb="FFFFFBEA"/>
      <rgbColor rgb="FFF4F6F8"/>
      <rgbColor rgb="FFFFF4ED"/>
      <rgbColor rgb="FFF8FAFC"/>
      <rgbColor rgb="FFFDBA74"/>
      <rgbColor rgb="FF3366FF"/>
      <rgbColor rgb="FF33CCCC"/>
      <rgbColor rgb="FF99CC00"/>
      <rgbColor rgb="FFFFCC00"/>
      <rgbColor rgb="FFFF9900"/>
      <rgbColor rgb="FFF97316"/>
      <rgbColor rgb="FF64748B"/>
      <rgbColor rgb="FF94A3B8"/>
      <rgbColor rgb="FF1B2836"/>
      <rgbColor rgb="FF339966"/>
      <rgbColor rgb="FF003300"/>
      <rgbColor rgb="FF333300"/>
      <rgbColor rgb="FF92400E"/>
      <rgbColor rgb="FFC2410C"/>
      <rgbColor rgb="FF475569"/>
      <rgbColor rgb="FF24344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150" spc="-1" strike="noStrike">
                <a:solidFill>
                  <a:srgbClr val="1b2836"/>
                </a:solidFill>
                <a:latin typeface="Arial"/>
              </a:defRPr>
            </a:pPr>
            <a:r>
              <a:rPr b="1" sz="1150" spc="-1" strike="noStrike">
                <a:solidFill>
                  <a:srgbClr val="1b2836"/>
                </a:solidFill>
                <a:latin typeface="Arial"/>
              </a:rPr>
              <a:t>Aylık izin günleri — bu yıl, seçili bölüm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stacked"/>
        <c:varyColors val="0"/>
        <c:ser>
          <c:idx val="0"/>
          <c:order val="0"/>
          <c:tx>
            <c:strRef>
              <c:f>Hesap!B1</c:f>
              <c:strCache>
                <c:ptCount val="1"/>
                <c:pt idx="0">
                  <c:v>Yıllık izin (gün)</c:v>
                </c:pt>
              </c:strCache>
            </c:strRef>
          </c:tx>
          <c:spPr>
            <a:solidFill>
              <a:srgbClr val="c2410c"/>
            </a:solidFill>
            <a:ln w="0">
              <a:solidFill>
                <a:srgbClr val="c2410c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Hesap!$A$2:$A$13</c:f>
              <c:strCache>
                <c:ptCount val="12"/>
                <c:pt idx="0">
                  <c:v>Oca</c:v>
                </c:pt>
                <c:pt idx="1">
                  <c:v>Şub</c:v>
                </c:pt>
                <c:pt idx="2">
                  <c:v>Mar</c:v>
                </c:pt>
                <c:pt idx="3">
                  <c:v>Nis</c:v>
                </c:pt>
                <c:pt idx="4">
                  <c:v>May</c:v>
                </c:pt>
                <c:pt idx="5">
                  <c:v>Haz</c:v>
                </c:pt>
                <c:pt idx="6">
                  <c:v>Tem</c:v>
                </c:pt>
                <c:pt idx="7">
                  <c:v>Ağu</c:v>
                </c:pt>
                <c:pt idx="8">
                  <c:v>Eyl</c:v>
                </c:pt>
                <c:pt idx="9">
                  <c:v>Eki</c:v>
                </c:pt>
                <c:pt idx="10">
                  <c:v>Kas</c:v>
                </c:pt>
                <c:pt idx="11">
                  <c:v>Ara</c:v>
                </c:pt>
              </c:strCache>
            </c:strRef>
          </c:cat>
          <c:val>
            <c:numRef>
              <c:f>Hesap!$B$2:$B$13</c:f>
              <c:numCache>
                <c:formatCode>General</c:formatCode>
                <c:ptCount val="12"/>
                <c:pt idx="0">
                  <c:v>2</c:v>
                </c:pt>
                <c:pt idx="1">
                  <c:v>10</c:v>
                </c:pt>
                <c:pt idx="2">
                  <c:v>4</c:v>
                </c:pt>
                <c:pt idx="3">
                  <c:v>12</c:v>
                </c:pt>
                <c:pt idx="4">
                  <c:v>8</c:v>
                </c:pt>
                <c:pt idx="5">
                  <c:v>18</c:v>
                </c:pt>
                <c:pt idx="6">
                  <c:v>21</c:v>
                </c:pt>
                <c:pt idx="7">
                  <c:v>24</c:v>
                </c:pt>
                <c:pt idx="8">
                  <c:v>5</c:v>
                </c:pt>
                <c:pt idx="9">
                  <c:v>9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Hesap!C1</c:f>
              <c:strCache>
                <c:ptCount val="1"/>
                <c:pt idx="0">
                  <c:v>Rapor (gün)</c:v>
                </c:pt>
              </c:strCache>
            </c:strRef>
          </c:tx>
          <c:spPr>
            <a:solidFill>
              <a:srgbClr val="1b2836"/>
            </a:solidFill>
            <a:ln w="0">
              <a:solidFill>
                <a:srgbClr val="1b2836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Hesap!$A$2:$A$13</c:f>
              <c:strCache>
                <c:ptCount val="12"/>
                <c:pt idx="0">
                  <c:v>Oca</c:v>
                </c:pt>
                <c:pt idx="1">
                  <c:v>Şub</c:v>
                </c:pt>
                <c:pt idx="2">
                  <c:v>Mar</c:v>
                </c:pt>
                <c:pt idx="3">
                  <c:v>Nis</c:v>
                </c:pt>
                <c:pt idx="4">
                  <c:v>May</c:v>
                </c:pt>
                <c:pt idx="5">
                  <c:v>Haz</c:v>
                </c:pt>
                <c:pt idx="6">
                  <c:v>Tem</c:v>
                </c:pt>
                <c:pt idx="7">
                  <c:v>Ağu</c:v>
                </c:pt>
                <c:pt idx="8">
                  <c:v>Eyl</c:v>
                </c:pt>
                <c:pt idx="9">
                  <c:v>Eki</c:v>
                </c:pt>
                <c:pt idx="10">
                  <c:v>Kas</c:v>
                </c:pt>
                <c:pt idx="11">
                  <c:v>Ara</c:v>
                </c:pt>
              </c:strCache>
            </c:strRef>
          </c:cat>
          <c:val>
            <c:numRef>
              <c:f>Hesap!$C$2:$C$13</c:f>
              <c:numCache>
                <c:formatCode>General</c:formatCode>
                <c:ptCount val="12"/>
                <c:pt idx="0">
                  <c:v>4</c:v>
                </c:pt>
                <c:pt idx="1">
                  <c:v>6</c:v>
                </c:pt>
                <c:pt idx="2">
                  <c:v>3</c:v>
                </c:pt>
                <c:pt idx="3">
                  <c:v>4</c:v>
                </c:pt>
                <c:pt idx="4">
                  <c:v>0</c:v>
                </c:pt>
                <c:pt idx="5">
                  <c:v>1</c:v>
                </c:pt>
                <c:pt idx="6">
                  <c:v>4</c:v>
                </c:pt>
                <c:pt idx="7">
                  <c:v>0</c:v>
                </c:pt>
                <c:pt idx="8">
                  <c:v>3</c:v>
                </c:pt>
                <c:pt idx="9">
                  <c:v>7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2"/>
          <c:order val="2"/>
          <c:tx>
            <c:strRef>
              <c:f>Hesap!D1</c:f>
              <c:strCache>
                <c:ptCount val="1"/>
                <c:pt idx="0">
                  <c:v>Diğer (gün)</c:v>
                </c:pt>
              </c:strCache>
            </c:strRef>
          </c:tx>
          <c:spPr>
            <a:solidFill>
              <a:srgbClr val="f97316"/>
            </a:solidFill>
            <a:ln w="0">
              <a:solidFill>
                <a:srgbClr val="f97316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Hesap!$A$2:$A$13</c:f>
              <c:strCache>
                <c:ptCount val="12"/>
                <c:pt idx="0">
                  <c:v>Oca</c:v>
                </c:pt>
                <c:pt idx="1">
                  <c:v>Şub</c:v>
                </c:pt>
                <c:pt idx="2">
                  <c:v>Mar</c:v>
                </c:pt>
                <c:pt idx="3">
                  <c:v>Nis</c:v>
                </c:pt>
                <c:pt idx="4">
                  <c:v>May</c:v>
                </c:pt>
                <c:pt idx="5">
                  <c:v>Haz</c:v>
                </c:pt>
                <c:pt idx="6">
                  <c:v>Tem</c:v>
                </c:pt>
                <c:pt idx="7">
                  <c:v>Ağu</c:v>
                </c:pt>
                <c:pt idx="8">
                  <c:v>Eyl</c:v>
                </c:pt>
                <c:pt idx="9">
                  <c:v>Eki</c:v>
                </c:pt>
                <c:pt idx="10">
                  <c:v>Kas</c:v>
                </c:pt>
                <c:pt idx="11">
                  <c:v>Ara</c:v>
                </c:pt>
              </c:strCache>
            </c:strRef>
          </c:cat>
          <c:val>
            <c:numRef>
              <c:f>Hesap!$D$2:$D$13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2</c:v>
                </c:pt>
                <c:pt idx="6">
                  <c:v>7</c:v>
                </c:pt>
                <c:pt idx="7">
                  <c:v>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100"/>
        <c:axId val="2238285"/>
        <c:axId val="62582892"/>
      </c:barChart>
      <c:catAx>
        <c:axId val="223828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cbd5e1"/>
            </a:solidFill>
            <a:round/>
          </a:ln>
        </c:spPr>
        <c:txPr>
          <a:bodyPr/>
          <a:lstStyle/>
          <a:p>
            <a:pPr>
              <a:defRPr b="0" sz="800" spc="-1" strike="noStrike">
                <a:solidFill>
                  <a:srgbClr val="475569"/>
                </a:solidFill>
                <a:latin typeface="Arial"/>
              </a:defRPr>
            </a:pPr>
          </a:p>
        </c:txPr>
        <c:crossAx val="62582892"/>
        <c:crosses val="autoZero"/>
        <c:auto val="1"/>
        <c:lblAlgn val="ctr"/>
        <c:lblOffset val="100"/>
        <c:noMultiLvlLbl val="0"/>
      </c:catAx>
      <c:valAx>
        <c:axId val="62582892"/>
        <c:scaling>
          <c:orientation val="minMax"/>
        </c:scaling>
        <c:delete val="0"/>
        <c:axPos val="l"/>
        <c:majorGridlines>
          <c:spPr>
            <a:ln w="6480">
              <a:solidFill>
                <a:srgbClr val="e2e8f0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cbd5e1"/>
            </a:solidFill>
            <a:round/>
          </a:ln>
        </c:spPr>
        <c:txPr>
          <a:bodyPr/>
          <a:lstStyle/>
          <a:p>
            <a:pPr>
              <a:defRPr b="0" sz="800" spc="-1" strike="noStrike">
                <a:solidFill>
                  <a:srgbClr val="475569"/>
                </a:solidFill>
                <a:latin typeface="Arial"/>
              </a:defRPr>
            </a:pPr>
          </a:p>
        </c:txPr>
        <c:crossAx val="2238285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800" spc="-1" strike="noStrike">
              <a:solidFill>
                <a:srgbClr val="475569"/>
              </a:solidFill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6480">
      <a:solidFill>
        <a:srgbClr val="e2e8f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150" spc="-1" strike="noStrike">
                <a:solidFill>
                  <a:srgbClr val="1b2836"/>
                </a:solidFill>
                <a:latin typeface="Arial"/>
              </a:defRPr>
            </a:pPr>
            <a:r>
              <a:rPr b="1" sz="1150" spc="-1" strike="noStrike">
                <a:solidFill>
                  <a:srgbClr val="1b2836"/>
                </a:solidFill>
                <a:latin typeface="Arial"/>
              </a:rPr>
              <a:t>İzin türü dağılımı — seçili bölüm (gün)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Hesap!M1</c:f>
              <c:strCache>
                <c:ptCount val="1"/>
                <c:pt idx="0">
                  <c:v>Gün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c2410c"/>
              </a:solidFill>
              <a:ln w="0">
                <a:noFill/>
              </a:ln>
            </c:spPr>
          </c:dPt>
          <c:dPt>
            <c:idx val="1"/>
            <c:spPr>
              <a:solidFill>
                <a:srgbClr val="1b2836"/>
              </a:solidFill>
              <a:ln w="0">
                <a:noFill/>
              </a:ln>
            </c:spPr>
          </c:dPt>
          <c:dPt>
            <c:idx val="2"/>
            <c:spPr>
              <a:solidFill>
                <a:srgbClr val="f97316"/>
              </a:solidFill>
              <a:ln w="0">
                <a:noFill/>
              </a:ln>
            </c:spPr>
          </c:dPt>
          <c:dPt>
            <c:idx val="3"/>
            <c:spPr>
              <a:solidFill>
                <a:srgbClr val="64748b"/>
              </a:solidFill>
              <a:ln w="0">
                <a:noFill/>
              </a:ln>
            </c:spPr>
          </c:dPt>
          <c:dPt>
            <c:idx val="4"/>
            <c:spPr>
              <a:solidFill>
                <a:srgbClr val="fdba74"/>
              </a:solidFill>
              <a:ln w="0">
                <a:noFill/>
              </a:ln>
            </c:spPr>
          </c:dPt>
          <c:dPt>
            <c:idx val="5"/>
            <c:spPr>
              <a:solidFill>
                <a:srgbClr val="94a3b8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1" sz="8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1" sz="8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1" sz="8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3"/>
              <c:txPr>
                <a:bodyPr wrap="square"/>
                <a:lstStyle/>
                <a:p>
                  <a:pPr>
                    <a:defRPr b="1" sz="8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4"/>
              <c:txPr>
                <a:bodyPr wrap="square"/>
                <a:lstStyle/>
                <a:p>
                  <a:pPr>
                    <a:defRPr b="1" sz="8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5"/>
              <c:txPr>
                <a:bodyPr wrap="square"/>
                <a:lstStyle/>
                <a:p>
                  <a:pPr>
                    <a:defRPr b="1" sz="8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1" sz="800" spc="-1" strike="noStrike">
                    <a:solidFill>
                      <a:srgbClr val="ffffff"/>
                    </a:solidFill>
                    <a:latin typeface="Arial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eparator>
</c:separator>
            <c:showLeaderLines val="1"/>
          </c:dLbls>
          <c:cat>
            <c:strRef>
              <c:f>Hesap!$L$2:$L$7</c:f>
              <c:strCache>
                <c:ptCount val="6"/>
                <c:pt idx="0">
                  <c:v>Yıllık izin</c:v>
                </c:pt>
                <c:pt idx="1">
                  <c:v>Rapor</c:v>
                </c:pt>
                <c:pt idx="2">
                  <c:v>Mazeret izni</c:v>
                </c:pt>
                <c:pt idx="3">
                  <c:v>Ücretsiz izin</c:v>
                </c:pt>
                <c:pt idx="4">
                  <c:v>Babalık/Analık</c:v>
                </c:pt>
                <c:pt idx="5">
                  <c:v>Evlilik/Ölüm</c:v>
                </c:pt>
              </c:strCache>
            </c:strRef>
          </c:cat>
          <c:val>
            <c:numRef>
              <c:f>Hesap!$M$2:$M$7</c:f>
              <c:numCache>
                <c:formatCode>General</c:formatCode>
                <c:ptCount val="6"/>
                <c:pt idx="0">
                  <c:v>113</c:v>
                </c:pt>
                <c:pt idx="1">
                  <c:v>32</c:v>
                </c:pt>
                <c:pt idx="2">
                  <c:v>8</c:v>
                </c:pt>
                <c:pt idx="3">
                  <c:v>7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800" spc="-1" strike="noStrike">
              <a:solidFill>
                <a:srgbClr val="475569"/>
              </a:solidFill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6480">
      <a:solidFill>
        <a:srgbClr val="e2e8f0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150" spc="-1" strike="noStrike">
                <a:solidFill>
                  <a:srgbClr val="1b2836"/>
                </a:solidFill>
                <a:latin typeface="Arial"/>
              </a:defRPr>
            </a:pPr>
            <a:r>
              <a:rPr b="1" sz="1150" spc="-1" strike="noStrike">
                <a:solidFill>
                  <a:srgbClr val="1b2836"/>
                </a:solidFill>
                <a:latin typeface="Arial"/>
              </a:rPr>
              <a:t>Bölüm bazında kullanılan ve kalan yıllık izin (gün)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Hesap!H1</c:f>
              <c:strCache>
                <c:ptCount val="1"/>
                <c:pt idx="0">
                  <c:v>Kullanılan (gün)</c:v>
                </c:pt>
              </c:strCache>
            </c:strRef>
          </c:tx>
          <c:spPr>
            <a:solidFill>
              <a:srgbClr val="c2410c"/>
            </a:solidFill>
            <a:ln w="0">
              <a:solidFill>
                <a:srgbClr val="c2410c"/>
              </a:solidFill>
            </a:ln>
          </c:spPr>
          <c:invertIfNegative val="0"/>
          <c:dLbls>
            <c:txPr>
              <a:bodyPr wrap="square"/>
              <a:lstStyle/>
              <a:p>
                <a:pPr>
                  <a:defRPr b="0" sz="800" spc="-1" strike="noStrike">
                    <a:solidFill>
                      <a:srgbClr val="1b2836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Hesap!$F$2:$F$7</c:f>
              <c:strCache>
                <c:ptCount val="6"/>
                <c:pt idx="0">
                  <c:v>Enjeksiyon</c:v>
                </c:pt>
                <c:pt idx="1">
                  <c:v>Montaj</c:v>
                </c:pt>
                <c:pt idx="2">
                  <c:v>Kalite</c:v>
                </c:pt>
                <c:pt idx="3">
                  <c:v>Bakım</c:v>
                </c:pt>
                <c:pt idx="4">
                  <c:v>Depo</c:v>
                </c:pt>
                <c:pt idx="5">
                  <c:v>Planlama</c:v>
                </c:pt>
              </c:strCache>
            </c:strRef>
          </c:cat>
          <c:val>
            <c:numRef>
              <c:f>Hesap!$H$2:$H$7</c:f>
              <c:numCache>
                <c:formatCode>General</c:formatCode>
                <c:ptCount val="6"/>
                <c:pt idx="0">
                  <c:v>44</c:v>
                </c:pt>
                <c:pt idx="1">
                  <c:v>34</c:v>
                </c:pt>
                <c:pt idx="2">
                  <c:v>12</c:v>
                </c:pt>
                <c:pt idx="3">
                  <c:v>10</c:v>
                </c:pt>
                <c:pt idx="4">
                  <c:v>8</c:v>
                </c:pt>
                <c:pt idx="5">
                  <c:v>5</c:v>
                </c:pt>
              </c:numCache>
            </c:numRef>
          </c:val>
        </c:ser>
        <c:ser>
          <c:idx val="1"/>
          <c:order val="1"/>
          <c:tx>
            <c:strRef>
              <c:f>Hesap!I1</c:f>
              <c:strCache>
                <c:ptCount val="1"/>
                <c:pt idx="0">
                  <c:v>Kalan (gün)</c:v>
                </c:pt>
              </c:strCache>
            </c:strRef>
          </c:tx>
          <c:spPr>
            <a:solidFill>
              <a:srgbClr val="1b2836"/>
            </a:solidFill>
            <a:ln w="0">
              <a:solidFill>
                <a:srgbClr val="1b2836"/>
              </a:solidFill>
            </a:ln>
          </c:spPr>
          <c:invertIfNegative val="0"/>
          <c:dLbls>
            <c:txPr>
              <a:bodyPr wrap="square"/>
              <a:lstStyle/>
              <a:p>
                <a:pPr>
                  <a:defRPr b="0" sz="800" spc="-1" strike="noStrike">
                    <a:solidFill>
                      <a:srgbClr val="1b2836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Hesap!$F$2:$F$7</c:f>
              <c:strCache>
                <c:ptCount val="6"/>
                <c:pt idx="0">
                  <c:v>Enjeksiyon</c:v>
                </c:pt>
                <c:pt idx="1">
                  <c:v>Montaj</c:v>
                </c:pt>
                <c:pt idx="2">
                  <c:v>Kalite</c:v>
                </c:pt>
                <c:pt idx="3">
                  <c:v>Bakım</c:v>
                </c:pt>
                <c:pt idx="4">
                  <c:v>Depo</c:v>
                </c:pt>
                <c:pt idx="5">
                  <c:v>Planlama</c:v>
                </c:pt>
              </c:strCache>
            </c:strRef>
          </c:cat>
          <c:val>
            <c:numRef>
              <c:f>Hesap!$I$2:$I$7</c:f>
              <c:numCache>
                <c:formatCode>General</c:formatCode>
                <c:ptCount val="6"/>
                <c:pt idx="0">
                  <c:v>82</c:v>
                </c:pt>
                <c:pt idx="1">
                  <c:v>164</c:v>
                </c:pt>
                <c:pt idx="2">
                  <c:v>53</c:v>
                </c:pt>
                <c:pt idx="3">
                  <c:v>37</c:v>
                </c:pt>
                <c:pt idx="4">
                  <c:v>51</c:v>
                </c:pt>
                <c:pt idx="5">
                  <c:v>3</c:v>
                </c:pt>
              </c:numCache>
            </c:numRef>
          </c:val>
        </c:ser>
        <c:gapWidth val="150"/>
        <c:overlap val="-10"/>
        <c:axId val="45010353"/>
        <c:axId val="50267394"/>
      </c:barChart>
      <c:catAx>
        <c:axId val="4501035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cbd5e1"/>
            </a:solidFill>
            <a:round/>
          </a:ln>
        </c:spPr>
        <c:txPr>
          <a:bodyPr/>
          <a:lstStyle/>
          <a:p>
            <a:pPr>
              <a:defRPr b="0" sz="800" spc="-1" strike="noStrike">
                <a:solidFill>
                  <a:srgbClr val="475569"/>
                </a:solidFill>
                <a:latin typeface="Arial"/>
              </a:defRPr>
            </a:pPr>
          </a:p>
        </c:txPr>
        <c:crossAx val="50267394"/>
        <c:crosses val="autoZero"/>
        <c:auto val="1"/>
        <c:lblAlgn val="ctr"/>
        <c:lblOffset val="100"/>
        <c:noMultiLvlLbl val="0"/>
      </c:catAx>
      <c:valAx>
        <c:axId val="50267394"/>
        <c:scaling>
          <c:orientation val="minMax"/>
        </c:scaling>
        <c:delete val="0"/>
        <c:axPos val="l"/>
        <c:majorGridlines>
          <c:spPr>
            <a:ln w="6480">
              <a:solidFill>
                <a:srgbClr val="e2e8f0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cbd5e1"/>
            </a:solidFill>
            <a:round/>
          </a:ln>
        </c:spPr>
        <c:txPr>
          <a:bodyPr/>
          <a:lstStyle/>
          <a:p>
            <a:pPr>
              <a:defRPr b="0" sz="800" spc="-1" strike="noStrike">
                <a:solidFill>
                  <a:srgbClr val="475569"/>
                </a:solidFill>
                <a:latin typeface="Arial"/>
              </a:defRPr>
            </a:pPr>
          </a:p>
        </c:txPr>
        <c:crossAx val="45010353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800" spc="-1" strike="noStrike">
              <a:solidFill>
                <a:srgbClr val="475569"/>
              </a:solidFill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6480">
      <a:solidFill>
        <a:srgbClr val="e2e8f0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150" spc="-1" strike="noStrike">
                <a:solidFill>
                  <a:srgbClr val="1b2836"/>
                </a:solidFill>
                <a:latin typeface="Arial"/>
              </a:defRPr>
            </a:pPr>
            <a:r>
              <a:rPr b="1" sz="1150" spc="-1" strike="noStrike">
                <a:solidFill>
                  <a:srgbClr val="1b2836"/>
                </a:solidFill>
                <a:latin typeface="Arial"/>
              </a:rPr>
              <a:t>En çok kalan izni olan 10 kişi (gün)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Hesap!S1</c:f>
              <c:strCache>
                <c:ptCount val="1"/>
                <c:pt idx="0">
                  <c:v>Kalan</c:v>
                </c:pt>
              </c:strCache>
            </c:strRef>
          </c:tx>
          <c:spPr>
            <a:solidFill>
              <a:srgbClr val="1b2836"/>
            </a:solidFill>
            <a:ln w="0">
              <a:solidFill>
                <a:srgbClr val="1b2836"/>
              </a:solidFill>
            </a:ln>
          </c:spPr>
          <c:invertIfNegative val="0"/>
          <c:dLbls>
            <c:txPr>
              <a:bodyPr wrap="square"/>
              <a:lstStyle/>
              <a:p>
                <a:pPr>
                  <a:defRPr b="0" sz="800" spc="-1" strike="noStrike">
                    <a:solidFill>
                      <a:srgbClr val="1b2836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Hesap!$R$2:$R$11</c:f>
              <c:strCache>
                <c:ptCount val="10"/>
                <c:pt idx="0">
                  <c:v>Emre Şahin</c:v>
                </c:pt>
                <c:pt idx="1">
                  <c:v>Burak Çelik</c:v>
                </c:pt>
                <c:pt idx="2">
                  <c:v>Murat Doğan</c:v>
                </c:pt>
                <c:pt idx="3">
                  <c:v>Selin Öztürk</c:v>
                </c:pt>
                <c:pt idx="4">
                  <c:v>Tolga Güneş</c:v>
                </c:pt>
                <c:pt idx="5">
                  <c:v>Büşra Erdem</c:v>
                </c:pt>
                <c:pt idx="6">
                  <c:v>Kerem Uçar</c:v>
                </c:pt>
                <c:pt idx="7">
                  <c:v>Okan Yılmaz</c:v>
                </c:pt>
                <c:pt idx="8">
                  <c:v>Derya Kurt</c:v>
                </c:pt>
                <c:pt idx="9">
                  <c:v>Ece Karaca</c:v>
                </c:pt>
              </c:strCache>
            </c:strRef>
          </c:cat>
          <c:val>
            <c:numRef>
              <c:f>Hesap!$S$2:$S$11</c:f>
              <c:numCache>
                <c:formatCode>General</c:formatCode>
                <c:ptCount val="10"/>
                <c:pt idx="0">
                  <c:v>29</c:v>
                </c:pt>
                <c:pt idx="1">
                  <c:v>26</c:v>
                </c:pt>
                <c:pt idx="2">
                  <c:v>25</c:v>
                </c:pt>
                <c:pt idx="3">
                  <c:v>25</c:v>
                </c:pt>
                <c:pt idx="4">
                  <c:v>22</c:v>
                </c:pt>
                <c:pt idx="5">
                  <c:v>21</c:v>
                </c:pt>
                <c:pt idx="6">
                  <c:v>20</c:v>
                </c:pt>
                <c:pt idx="7">
                  <c:v>20</c:v>
                </c:pt>
                <c:pt idx="8">
                  <c:v>19</c:v>
                </c:pt>
                <c:pt idx="9">
                  <c:v>18</c:v>
                </c:pt>
              </c:numCache>
            </c:numRef>
          </c:val>
        </c:ser>
        <c:gapWidth val="150"/>
        <c:overlap val="0"/>
        <c:axId val="89855643"/>
        <c:axId val="45949225"/>
      </c:barChart>
      <c:catAx>
        <c:axId val="8985564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cbd5e1"/>
            </a:solidFill>
            <a:round/>
          </a:ln>
        </c:spPr>
        <c:txPr>
          <a:bodyPr/>
          <a:lstStyle/>
          <a:p>
            <a:pPr>
              <a:defRPr b="0" sz="800" spc="-1" strike="noStrike">
                <a:solidFill>
                  <a:srgbClr val="475569"/>
                </a:solidFill>
                <a:latin typeface="Arial"/>
              </a:defRPr>
            </a:pPr>
          </a:p>
        </c:txPr>
        <c:crossAx val="45949225"/>
        <c:crosses val="autoZero"/>
        <c:auto val="1"/>
        <c:lblAlgn val="ctr"/>
        <c:lblOffset val="100"/>
        <c:noMultiLvlLbl val="0"/>
      </c:catAx>
      <c:valAx>
        <c:axId val="45949225"/>
        <c:scaling>
          <c:orientation val="minMax"/>
        </c:scaling>
        <c:delete val="0"/>
        <c:axPos val="l"/>
        <c:majorGridlines>
          <c:spPr>
            <a:ln w="6480">
              <a:solidFill>
                <a:srgbClr val="e2e8f0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cbd5e1"/>
            </a:solidFill>
            <a:round/>
          </a:ln>
        </c:spPr>
        <c:txPr>
          <a:bodyPr/>
          <a:lstStyle/>
          <a:p>
            <a:pPr>
              <a:defRPr b="0" sz="800" spc="-1" strike="noStrike">
                <a:solidFill>
                  <a:srgbClr val="475569"/>
                </a:solidFill>
                <a:latin typeface="Arial"/>
              </a:defRPr>
            </a:pPr>
          </a:p>
        </c:txPr>
        <c:crossAx val="89855643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800" spc="-1" strike="noStrike">
              <a:solidFill>
                <a:srgbClr val="475569"/>
              </a:solidFill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6480">
      <a:solidFill>
        <a:srgbClr val="e2e8f0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3</xdr:col>
      <xdr:colOff>155880</xdr:colOff>
      <xdr:row>3</xdr:row>
      <xdr:rowOff>380520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11320" y="228600"/>
          <a:ext cx="1142640" cy="11426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9</xdr:row>
      <xdr:rowOff>0</xdr:rowOff>
    </xdr:from>
    <xdr:to>
      <xdr:col>12</xdr:col>
      <xdr:colOff>378000</xdr:colOff>
      <xdr:row>23</xdr:row>
      <xdr:rowOff>140760</xdr:rowOff>
    </xdr:to>
    <xdr:graphicFrame>
      <xdr:nvGraphicFramePr>
        <xdr:cNvPr id="1" name="Chart 1"/>
        <xdr:cNvGraphicFramePr/>
      </xdr:nvGraphicFramePr>
      <xdr:xfrm>
        <a:off x="141120" y="2057400"/>
        <a:ext cx="5183640" cy="2807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0</xdr:colOff>
      <xdr:row>9</xdr:row>
      <xdr:rowOff>0</xdr:rowOff>
    </xdr:from>
    <xdr:to>
      <xdr:col>25</xdr:col>
      <xdr:colOff>126000</xdr:colOff>
      <xdr:row>23</xdr:row>
      <xdr:rowOff>140760</xdr:rowOff>
    </xdr:to>
    <xdr:graphicFrame>
      <xdr:nvGraphicFramePr>
        <xdr:cNvPr id="2" name="Chart 2"/>
        <xdr:cNvGraphicFramePr/>
      </xdr:nvGraphicFramePr>
      <xdr:xfrm>
        <a:off x="5524560" y="2057400"/>
        <a:ext cx="4931640" cy="2807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25</xdr:row>
      <xdr:rowOff>0</xdr:rowOff>
    </xdr:from>
    <xdr:to>
      <xdr:col>12</xdr:col>
      <xdr:colOff>378000</xdr:colOff>
      <xdr:row>38</xdr:row>
      <xdr:rowOff>45360</xdr:rowOff>
    </xdr:to>
    <xdr:graphicFrame>
      <xdr:nvGraphicFramePr>
        <xdr:cNvPr id="3" name="Chart 3"/>
        <xdr:cNvGraphicFramePr/>
      </xdr:nvGraphicFramePr>
      <xdr:xfrm>
        <a:off x="141120" y="5105520"/>
        <a:ext cx="5183640" cy="2807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0</xdr:colOff>
      <xdr:row>41</xdr:row>
      <xdr:rowOff>0</xdr:rowOff>
    </xdr:from>
    <xdr:to>
      <xdr:col>12</xdr:col>
      <xdr:colOff>378000</xdr:colOff>
      <xdr:row>54</xdr:row>
      <xdr:rowOff>188280</xdr:rowOff>
    </xdr:to>
    <xdr:graphicFrame>
      <xdr:nvGraphicFramePr>
        <xdr:cNvPr id="4" name="Chart 4"/>
        <xdr:cNvGraphicFramePr/>
      </xdr:nvGraphicFramePr>
      <xdr:xfrm>
        <a:off x="141120" y="8439120"/>
        <a:ext cx="5183640" cy="2807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takmoserp.com/sablonlar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2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3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836"/>
    <pageSetUpPr fitToPage="true"/>
  </sheetPr>
  <dimension ref="A1:N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14" min="2" style="0" width="7"/>
  </cols>
  <sheetData>
    <row r="1" customFormat="false" ht="18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30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customFormat="false" ht="30" hidden="false" customHeight="true" outlineLevel="0" collapsed="false">
      <c r="A3" s="1"/>
      <c r="B3" s="1"/>
      <c r="C3" s="1"/>
      <c r="D3" s="1"/>
      <c r="E3" s="2" t="s">
        <v>0</v>
      </c>
      <c r="F3" s="2"/>
      <c r="G3" s="2"/>
      <c r="H3" s="2"/>
      <c r="I3" s="2"/>
      <c r="J3" s="2"/>
      <c r="K3" s="2"/>
      <c r="L3" s="2"/>
      <c r="M3" s="2"/>
      <c r="N3" s="2"/>
    </row>
    <row r="4" customFormat="false" ht="30" hidden="false" customHeight="true" outlineLevel="0" collapsed="false">
      <c r="A4" s="1"/>
      <c r="B4" s="1"/>
      <c r="C4" s="1"/>
      <c r="D4" s="1"/>
      <c r="E4" s="3" t="s">
        <v>1</v>
      </c>
      <c r="F4" s="3"/>
      <c r="G4" s="3"/>
      <c r="H4" s="3"/>
      <c r="I4" s="3"/>
      <c r="J4" s="3"/>
      <c r="K4" s="3"/>
      <c r="L4" s="3"/>
      <c r="M4" s="3"/>
      <c r="N4" s="3"/>
    </row>
    <row r="5" customFormat="false" ht="30" hidden="false" customHeight="true" outlineLevel="0" collapsed="false">
      <c r="A5" s="1"/>
      <c r="B5" s="1"/>
      <c r="C5" s="1"/>
      <c r="D5" s="1"/>
      <c r="E5" s="4" t="s">
        <v>2</v>
      </c>
      <c r="F5" s="4"/>
      <c r="G5" s="4"/>
      <c r="H5" s="4"/>
      <c r="I5" s="4"/>
      <c r="J5" s="4"/>
      <c r="K5" s="4"/>
      <c r="L5" s="4"/>
      <c r="M5" s="4"/>
      <c r="N5" s="4"/>
    </row>
    <row r="6" customFormat="false" ht="15" hidden="false" customHeight="fals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customFormat="false" ht="15" hidden="false" customHeight="fals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customFormat="false" ht="15" hidden="false" customHeight="true" outlineLevel="0" collapsed="false">
      <c r="A8" s="1"/>
      <c r="B8" s="5" t="s">
        <v>3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customFormat="false" ht="15" hidden="false" customHeight="false" outlineLevel="0" collapsed="false">
      <c r="A9" s="1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customFormat="false" ht="15" hidden="false" customHeight="false" outlineLevel="0" collapsed="false">
      <c r="A10" s="1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customFormat="false" ht="15" hidden="false" customHeight="false" outlineLevel="0" collapsed="false">
      <c r="A11" s="1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customFormat="false" ht="15" hidden="false" customHeight="false" outlineLevel="0" collapsed="false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customFormat="false" ht="18" hidden="false" customHeight="true" outlineLevel="0" collapsed="false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customFormat="false" ht="19.5" hidden="false" customHeight="true" outlineLevel="0" collapsed="false">
      <c r="A14" s="6"/>
      <c r="B14" s="7" t="s">
        <v>4</v>
      </c>
      <c r="C14" s="7"/>
      <c r="D14" s="7"/>
      <c r="E14" s="7"/>
      <c r="F14" s="7"/>
      <c r="G14" s="7"/>
      <c r="H14" s="6"/>
      <c r="I14" s="7" t="s">
        <v>5</v>
      </c>
      <c r="J14" s="7"/>
      <c r="K14" s="7"/>
      <c r="L14" s="7"/>
      <c r="M14" s="7"/>
      <c r="N14" s="7"/>
    </row>
    <row r="15" customFormat="false" ht="30" hidden="false" customHeight="true" outlineLevel="0" collapsed="false">
      <c r="A15" s="6"/>
      <c r="B15" s="8" t="s">
        <v>6</v>
      </c>
      <c r="C15" s="8"/>
      <c r="D15" s="8"/>
      <c r="E15" s="9" t="s">
        <v>7</v>
      </c>
      <c r="F15" s="9"/>
      <c r="G15" s="9"/>
      <c r="H15" s="6"/>
      <c r="I15" s="10" t="s">
        <v>8</v>
      </c>
      <c r="J15" s="10"/>
      <c r="K15" s="10"/>
      <c r="L15" s="10"/>
      <c r="M15" s="10"/>
      <c r="N15" s="10"/>
    </row>
    <row r="16" customFormat="false" ht="30" hidden="false" customHeight="true" outlineLevel="0" collapsed="false">
      <c r="A16" s="6"/>
      <c r="B16" s="8" t="s">
        <v>9</v>
      </c>
      <c r="C16" s="8"/>
      <c r="D16" s="8"/>
      <c r="E16" s="9" t="s">
        <v>10</v>
      </c>
      <c r="F16" s="9"/>
      <c r="G16" s="9"/>
      <c r="H16" s="6"/>
      <c r="I16" s="10" t="s">
        <v>11</v>
      </c>
      <c r="J16" s="10"/>
      <c r="K16" s="10"/>
      <c r="L16" s="10"/>
      <c r="M16" s="10"/>
      <c r="N16" s="10"/>
    </row>
    <row r="17" customFormat="false" ht="30" hidden="false" customHeight="true" outlineLevel="0" collapsed="false">
      <c r="A17" s="6"/>
      <c r="B17" s="8" t="s">
        <v>12</v>
      </c>
      <c r="C17" s="8"/>
      <c r="D17" s="8"/>
      <c r="E17" s="9" t="s">
        <v>13</v>
      </c>
      <c r="F17" s="9"/>
      <c r="G17" s="9"/>
      <c r="H17" s="6"/>
      <c r="I17" s="10" t="s">
        <v>14</v>
      </c>
      <c r="J17" s="10"/>
      <c r="K17" s="10"/>
      <c r="L17" s="10"/>
      <c r="M17" s="10"/>
      <c r="N17" s="10"/>
    </row>
    <row r="18" customFormat="false" ht="30" hidden="false" customHeight="true" outlineLevel="0" collapsed="false">
      <c r="A18" s="6"/>
      <c r="B18" s="8" t="s">
        <v>15</v>
      </c>
      <c r="C18" s="8"/>
      <c r="D18" s="8"/>
      <c r="E18" s="9" t="s">
        <v>16</v>
      </c>
      <c r="F18" s="9"/>
      <c r="G18" s="9"/>
      <c r="H18" s="6"/>
      <c r="I18" s="10" t="s">
        <v>17</v>
      </c>
      <c r="J18" s="10"/>
      <c r="K18" s="10"/>
      <c r="L18" s="10"/>
      <c r="M18" s="10"/>
      <c r="N18" s="10"/>
    </row>
    <row r="19" customFormat="false" ht="21.75" hidden="false" customHeight="true" outlineLevel="0" collapsed="false">
      <c r="A19" s="6"/>
      <c r="B19" s="8" t="s">
        <v>18</v>
      </c>
      <c r="C19" s="8"/>
      <c r="D19" s="8"/>
      <c r="E19" s="9" t="s">
        <v>19</v>
      </c>
      <c r="F19" s="9"/>
      <c r="G19" s="9"/>
      <c r="H19" s="6"/>
      <c r="I19" s="6"/>
      <c r="J19" s="6"/>
      <c r="K19" s="6"/>
      <c r="L19" s="6"/>
      <c r="M19" s="6"/>
      <c r="N19" s="6"/>
    </row>
    <row r="20" customFormat="false" ht="18" hidden="false" customHeight="true" outlineLevel="0" collapsed="false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customFormat="false" ht="18" hidden="false" customHeight="true" outlineLevel="0" collapsed="false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customFormat="false" ht="18" hidden="false" customHeight="true" outlineLevel="0" collapsed="false">
      <c r="A22" s="6"/>
      <c r="B22" s="11"/>
      <c r="C22" s="12" t="s">
        <v>20</v>
      </c>
      <c r="D22" s="12"/>
      <c r="E22" s="12"/>
      <c r="F22" s="12"/>
      <c r="G22" s="12"/>
      <c r="H22" s="6"/>
      <c r="I22" s="13" t="s">
        <v>21</v>
      </c>
      <c r="J22" s="13"/>
      <c r="K22" s="13"/>
      <c r="L22" s="13"/>
      <c r="M22" s="13"/>
      <c r="N22" s="13"/>
    </row>
    <row r="23" customFormat="false" ht="18" hidden="false" customHeight="true" outlineLevel="0" collapsed="false">
      <c r="A23" s="6"/>
      <c r="B23" s="14"/>
      <c r="C23" s="12" t="s">
        <v>22</v>
      </c>
      <c r="D23" s="12"/>
      <c r="E23" s="12"/>
      <c r="F23" s="12"/>
      <c r="G23" s="12"/>
      <c r="H23" s="6"/>
      <c r="I23" s="13"/>
      <c r="J23" s="13"/>
      <c r="K23" s="13"/>
      <c r="L23" s="13"/>
      <c r="M23" s="13"/>
      <c r="N23" s="13"/>
    </row>
    <row r="24" customFormat="false" ht="18" hidden="false" customHeight="true" outlineLevel="0" collapsed="false">
      <c r="A24" s="6"/>
      <c r="B24" s="15"/>
      <c r="C24" s="12" t="s">
        <v>23</v>
      </c>
      <c r="D24" s="12"/>
      <c r="E24" s="12"/>
      <c r="F24" s="12"/>
      <c r="G24" s="12"/>
      <c r="H24" s="6"/>
      <c r="I24" s="13"/>
      <c r="J24" s="13"/>
      <c r="K24" s="13"/>
      <c r="L24" s="13"/>
      <c r="M24" s="13"/>
      <c r="N24" s="13"/>
    </row>
    <row r="25" customFormat="false" ht="18" hidden="false" customHeight="true" outlineLevel="0" collapsed="false">
      <c r="A25" s="6"/>
      <c r="B25" s="16"/>
      <c r="C25" s="12" t="s">
        <v>24</v>
      </c>
      <c r="D25" s="12"/>
      <c r="E25" s="12"/>
      <c r="F25" s="12"/>
      <c r="G25" s="12"/>
      <c r="H25" s="6"/>
      <c r="I25" s="13"/>
      <c r="J25" s="13"/>
      <c r="K25" s="13"/>
      <c r="L25" s="13"/>
      <c r="M25" s="13"/>
      <c r="N25" s="13"/>
    </row>
    <row r="26" customFormat="false" ht="18" hidden="false" customHeight="true" outlineLevel="0" collapsed="false">
      <c r="A26" s="6"/>
      <c r="B26" s="17"/>
      <c r="C26" s="12" t="s">
        <v>25</v>
      </c>
      <c r="D26" s="12"/>
      <c r="E26" s="12"/>
      <c r="F26" s="12"/>
      <c r="G26" s="12"/>
      <c r="H26" s="6"/>
      <c r="I26" s="13"/>
      <c r="J26" s="13"/>
      <c r="K26" s="13"/>
      <c r="L26" s="13"/>
      <c r="M26" s="13"/>
      <c r="N26" s="13"/>
    </row>
    <row r="27" customFormat="false" ht="18" hidden="false" customHeight="true" outlineLevel="0" collapsed="false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customFormat="false" ht="18" hidden="false" customHeight="true" outlineLevel="0" collapsed="false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customFormat="false" ht="18" hidden="false" customHeight="true" outlineLevel="0" collapsed="false">
      <c r="A29" s="6"/>
      <c r="B29" s="18" t="s">
        <v>26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</row>
    <row r="30" customFormat="false" ht="18" hidden="false" customHeight="true" outlineLevel="0" collapsed="false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customFormat="false" ht="3.75" hidden="false" customHeight="true" outlineLevel="0" collapsed="false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</row>
    <row r="32" customFormat="false" ht="18" hidden="false" customHeight="true" outlineLevel="0" collapsed="false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customFormat="false" ht="18" hidden="false" customHeight="true" outlineLevel="0" collapsed="false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customFormat="false" ht="18" hidden="false" customHeight="true" outlineLevel="0" collapsed="false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customFormat="false" ht="18" hidden="false" customHeight="true" outlineLevel="0" collapsed="false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customFormat="false" ht="18" hidden="false" customHeight="true" outlineLevel="0" collapsed="false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customFormat="false" ht="18" hidden="false" customHeight="true" outlineLevel="0" collapsed="false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customFormat="false" ht="18" hidden="false" customHeight="true" outlineLevel="0" collapsed="false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customFormat="false" ht="18" hidden="false" customHeight="true" outlineLevel="0" collapsed="false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customFormat="false" ht="18" hidden="false" customHeight="true" outlineLevel="0" collapsed="false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customFormat="false" ht="18" hidden="false" customHeight="true" outlineLevel="0" collapsed="false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customFormat="false" ht="18" hidden="false" customHeight="true" outlineLevel="0" collapsed="false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customFormat="false" ht="18" hidden="false" customHeight="true" outlineLevel="0" collapsed="false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customFormat="false" ht="18" hidden="false" customHeight="true" outlineLevel="0" collapsed="false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customFormat="false" ht="18" hidden="false" customHeight="true" outlineLevel="0" collapsed="false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customFormat="false" ht="18" hidden="false" customHeight="true" outlineLevel="0" collapsed="false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customFormat="false" ht="18" hidden="false" customHeight="true" outlineLevel="0" collapsed="false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customFormat="false" ht="18" hidden="false" customHeight="true" outlineLevel="0" collapsed="false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customFormat="false" ht="18" hidden="false" customHeight="true" outlineLevel="0" collapsed="false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</sheetData>
  <mergeCells count="27">
    <mergeCell ref="E3:N3"/>
    <mergeCell ref="E4:N4"/>
    <mergeCell ref="E5:N5"/>
    <mergeCell ref="B8:N11"/>
    <mergeCell ref="B14:G14"/>
    <mergeCell ref="I14:N14"/>
    <mergeCell ref="B15:D15"/>
    <mergeCell ref="E15:G15"/>
    <mergeCell ref="I15:N15"/>
    <mergeCell ref="B16:D16"/>
    <mergeCell ref="E16:G16"/>
    <mergeCell ref="I16:N16"/>
    <mergeCell ref="B17:D17"/>
    <mergeCell ref="E17:G17"/>
    <mergeCell ref="I17:N17"/>
    <mergeCell ref="B18:D18"/>
    <mergeCell ref="E18:G18"/>
    <mergeCell ref="I18:N18"/>
    <mergeCell ref="B19:D19"/>
    <mergeCell ref="E19:G19"/>
    <mergeCell ref="C22:G22"/>
    <mergeCell ref="I22:N26"/>
    <mergeCell ref="C23:G23"/>
    <mergeCell ref="C24:G24"/>
    <mergeCell ref="C25:G25"/>
    <mergeCell ref="C26:G26"/>
    <mergeCell ref="B29:N29"/>
  </mergeCells>
  <hyperlinks>
    <hyperlink ref="B15" location="'Dashboard'!A1" display="→  Dashboard"/>
    <hyperlink ref="B16" location="'İzin Kayıtları'!A1" display="→  İzin Kayıtları"/>
    <hyperlink ref="B17" location="'Personel'!A1" display="→  Personel"/>
    <hyperlink ref="B18" location="'Listeler'!A1" display="→  Listeler"/>
    <hyperlink ref="B19" location="'Nasıl kullanılır'!A1" display="→  Nasıl kullanılır"/>
    <hyperlink ref="B29" r:id="rId1" display="Daha fazla şablon, rehber yazıları ve TAKMOS İK Modülü demosu: takmoserp.com/sablonlar"/>
  </hyperlinks>
  <printOptions headings="false" gridLines="false" gridLinesSet="true" horizontalCentered="false" verticalCentered="false"/>
  <pageMargins left="0.4" right="0.4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Z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13" min="2" style="0" width="6.2"/>
    <col collapsed="false" customWidth="true" hidden="false" outlineLevel="0" max="14" min="14" style="0" width="2"/>
    <col collapsed="false" customWidth="true" hidden="false" outlineLevel="0" max="25" min="15" style="0" width="6.2"/>
    <col collapsed="false" customWidth="true" hidden="false" outlineLevel="0" max="26" min="26" style="0" width="2"/>
  </cols>
  <sheetData>
    <row r="1" customFormat="false" ht="33.75" hidden="false" customHeight="true" outlineLevel="0" collapsed="false">
      <c r="A1" s="20" t="s">
        <v>27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1" t="s">
        <v>28</v>
      </c>
      <c r="V1" s="21"/>
      <c r="W1" s="21"/>
      <c r="X1" s="21"/>
      <c r="Y1" s="21"/>
    </row>
    <row r="2" customFormat="false" ht="19.5" hidden="false" customHeight="true" outlineLevel="0" collapsed="false">
      <c r="A2" s="22" t="s">
        <v>29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3" t="s">
        <v>30</v>
      </c>
      <c r="T2" s="23"/>
      <c r="U2" s="23"/>
      <c r="V2" s="23"/>
      <c r="W2" s="23"/>
      <c r="X2" s="23"/>
      <c r="Y2" s="23"/>
    </row>
    <row r="3" customFormat="false" ht="19.5" hidden="false" customHeight="true" outlineLevel="0" collapsed="false">
      <c r="A3" s="24"/>
      <c r="B3" s="25" t="s">
        <v>31</v>
      </c>
      <c r="C3" s="25"/>
      <c r="D3" s="26" t="s">
        <v>32</v>
      </c>
      <c r="E3" s="26"/>
      <c r="F3" s="26" t="s">
        <v>33</v>
      </c>
      <c r="G3" s="26"/>
      <c r="H3" s="26" t="s">
        <v>34</v>
      </c>
      <c r="I3" s="26"/>
      <c r="J3" s="26" t="s">
        <v>35</v>
      </c>
      <c r="K3" s="26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customFormat="false" ht="19.5" hidden="false" customHeight="true" outlineLevel="0" collapsed="false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7" t="s">
        <v>36</v>
      </c>
      <c r="N4" s="24"/>
      <c r="O4" s="28" t="s">
        <v>37</v>
      </c>
      <c r="P4" s="28"/>
      <c r="Q4" s="28"/>
      <c r="R4" s="28"/>
      <c r="S4" s="24"/>
      <c r="T4" s="24"/>
      <c r="U4" s="24"/>
      <c r="V4" s="29" t="s">
        <v>38</v>
      </c>
      <c r="W4" s="30" t="n">
        <f aca="false">Listeler!$F$5</f>
        <v>46323</v>
      </c>
      <c r="X4" s="30"/>
      <c r="Y4" s="24"/>
      <c r="Z4" s="24"/>
    </row>
    <row r="5" customFormat="false" ht="15" hidden="false" customHeight="true" outlineLevel="0" collapsed="false">
      <c r="A5" s="24"/>
      <c r="B5" s="31" t="s">
        <v>39</v>
      </c>
      <c r="C5" s="31"/>
      <c r="D5" s="31"/>
      <c r="E5" s="31"/>
      <c r="F5" s="32" t="s">
        <v>40</v>
      </c>
      <c r="G5" s="32"/>
      <c r="H5" s="32"/>
      <c r="I5" s="32"/>
      <c r="J5" s="31" t="s">
        <v>41</v>
      </c>
      <c r="K5" s="31"/>
      <c r="L5" s="31"/>
      <c r="M5" s="31"/>
      <c r="N5" s="24"/>
      <c r="O5" s="31" t="s">
        <v>42</v>
      </c>
      <c r="P5" s="31"/>
      <c r="Q5" s="31"/>
      <c r="R5" s="31"/>
      <c r="S5" s="31" t="s">
        <v>43</v>
      </c>
      <c r="T5" s="31"/>
      <c r="U5" s="31"/>
      <c r="V5" s="31"/>
      <c r="W5" s="32" t="s">
        <v>44</v>
      </c>
      <c r="X5" s="32"/>
      <c r="Y5" s="32"/>
      <c r="Z5" s="24"/>
    </row>
    <row r="6" customFormat="false" ht="15" hidden="false" customHeight="true" outlineLevel="0" collapsed="false">
      <c r="A6" s="24"/>
      <c r="B6" s="33" t="n">
        <f aca="false">COUNTIFS(Personel!C6:C85,IF(Dashboard!$O$4="Tümü","*",Dashboard!$O$4))</f>
        <v>25</v>
      </c>
      <c r="C6" s="33"/>
      <c r="D6" s="33"/>
      <c r="E6" s="33"/>
      <c r="F6" s="34" t="n">
        <f aca="false">COUNTIFS('İzin Kayıtları'!$I:$I,"Onaylandı",'İzin Kayıtları'!$F:$F,"&lt;="&amp;Listeler!$F$5,'İzin Kayıtları'!$G:$G,"&gt;="&amp;Listeler!$F$5,'İzin Kayıtları'!$D:$D,IF(Dashboard!$O$4="Tümü","*",Dashboard!$O$4))</f>
        <v>2</v>
      </c>
      <c r="G6" s="34"/>
      <c r="H6" s="34"/>
      <c r="I6" s="34"/>
      <c r="J6" s="33" t="n">
        <f aca="false">COUNTIFS('İzin Kayıtları'!$I:$I,"Bekliyor",'İzin Kayıtları'!$D:$D,IF(Dashboard!$O$4="Tümü","*",Dashboard!$O$4))</f>
        <v>1</v>
      </c>
      <c r="K6" s="33"/>
      <c r="L6" s="33"/>
      <c r="M6" s="33"/>
      <c r="N6" s="24"/>
      <c r="O6" s="33" t="n">
        <f aca="false">SUMIFS('İzin Kayıtları'!$H:$H,'İzin Kayıtları'!$K:$K,Listeler!$F$6,'İzin Kayıtları'!$L:$L,MONTH(Listeler!$F$5),'İzin Kayıtları'!$I:$I,"Onaylandı",'İzin Kayıtları'!$D:$D,IF(Dashboard!$O$4="Tümü","*",Dashboard!$O$4))</f>
        <v>16</v>
      </c>
      <c r="P6" s="33"/>
      <c r="Q6" s="33"/>
      <c r="R6" s="33"/>
      <c r="S6" s="35" t="n">
        <f aca="false">SUMIFS(Personel!J6:J85,Personel!C6:C85,IF(Dashboard!$O$4="Tümü","*",Dashboard!$O$4))</f>
        <v>390</v>
      </c>
      <c r="T6" s="35"/>
      <c r="U6" s="35"/>
      <c r="V6" s="35"/>
      <c r="W6" s="34" t="n">
        <f aca="false">COUNTIFS(Personel!J6:J85,"&gt;="&amp;Listeler!$F$11,Personel!C6:C85,IF(Dashboard!$O$4="Tümü","*",Dashboard!$O$4))</f>
        <v>8</v>
      </c>
      <c r="X6" s="34"/>
      <c r="Y6" s="34"/>
      <c r="Z6" s="24"/>
    </row>
    <row r="7" customFormat="false" ht="15" hidden="false" customHeight="true" outlineLevel="0" collapsed="false">
      <c r="A7" s="24"/>
      <c r="B7" s="33"/>
      <c r="C7" s="33"/>
      <c r="D7" s="33"/>
      <c r="E7" s="33"/>
      <c r="F7" s="34"/>
      <c r="G7" s="34"/>
      <c r="H7" s="34"/>
      <c r="I7" s="34"/>
      <c r="J7" s="33"/>
      <c r="K7" s="33"/>
      <c r="L7" s="33"/>
      <c r="M7" s="33"/>
      <c r="N7" s="24"/>
      <c r="O7" s="33"/>
      <c r="P7" s="33"/>
      <c r="Q7" s="33"/>
      <c r="R7" s="33"/>
      <c r="S7" s="35"/>
      <c r="T7" s="35"/>
      <c r="U7" s="35"/>
      <c r="V7" s="35"/>
      <c r="W7" s="34"/>
      <c r="X7" s="34"/>
      <c r="Y7" s="34"/>
      <c r="Z7" s="24"/>
    </row>
    <row r="8" customFormat="false" ht="15" hidden="false" customHeight="true" outlineLevel="0" collapsed="false">
      <c r="A8" s="24"/>
      <c r="B8" s="36" t="s">
        <v>45</v>
      </c>
      <c r="C8" s="36"/>
      <c r="D8" s="36"/>
      <c r="E8" s="36"/>
      <c r="F8" s="37" t="s">
        <v>46</v>
      </c>
      <c r="G8" s="37"/>
      <c r="H8" s="37"/>
      <c r="I8" s="37"/>
      <c r="J8" s="36" t="s">
        <v>47</v>
      </c>
      <c r="K8" s="36"/>
      <c r="L8" s="36"/>
      <c r="M8" s="36"/>
      <c r="N8" s="24"/>
      <c r="O8" s="36" t="str">
        <f aca="false">IF(OR(SUMIFS('İzin Kayıtları'!$H:$H,'İzin Kayıtları'!$K:$K,Listeler!$F$6,'İzin Kayıtları'!$L:$L,MONTH(Listeler!$F$5)-1,'İzin Kayıtları'!$I:$I,"Onaylandı",'İzin Kayıtları'!$D:$D,IF(Dashboard!$O$4="Tümü","*",Dashboard!$O$4))=0,SUMIFS('İzin Kayıtları'!$H:$H,'İzin Kayıtları'!$K:$K,Listeler!$F$6,'İzin Kayıtları'!$L:$L,MONTH(Listeler!$F$5)-1,'İzin Kayıtları'!$I:$I,"Onaylandı",'İzin Kayıtları'!$D:$D,IF(Dashboard!$O$4="Tümü","*",Dashboard!$O$4))=""),"önceki dönem verisi yok",IF(SUMIFS('İzin Kayıtları'!$H:$H,'İzin Kayıtları'!$K:$K,Listeler!$F$6,'İzin Kayıtları'!$L:$L,MONTH(Listeler!$F$5),'İzin Kayıtları'!$I:$I,"Onaylandı",'İzin Kayıtları'!$D:$D,IF(Dashboard!$O$4="Tümü","*",Dashboard!$O$4))&gt;SUMIFS('İzin Kayıtları'!$H:$H,'İzin Kayıtları'!$K:$K,Listeler!$F$6,'İzin Kayıtları'!$L:$L,MONTH(Listeler!$F$5)-1,'İzin Kayıtları'!$I:$I,"Onaylandı",'İzin Kayıtları'!$D:$D,IF(Dashboard!$O$4="Tümü","*",Dashboard!$O$4)),"▲ ","▼ ")&amp;TEXT(ABS(SUMIFS('İzin Kayıtları'!$H:$H,'İzin Kayıtları'!$K:$K,Listeler!$F$6,'İzin Kayıtları'!$L:$L,MONTH(Listeler!$F$5),'İzin Kayıtları'!$I:$I,"Onaylandı",'İzin Kayıtları'!$D:$D,IF(Dashboard!$O$4="Tümü","*",Dashboard!$O$4))-SUMIFS('İzin Kayıtları'!$H:$H,'İzin Kayıtları'!$K:$K,Listeler!$F$6,'İzin Kayıtları'!$L:$L,MONTH(Listeler!$F$5)-1,'İzin Kayıtları'!$I:$I,"Onaylandı",'İzin Kayıtları'!$D:$D,IF(Dashboard!$O$4="Tümü","*",Dashboard!$O$4))),"0")&amp;" gün önceki aya göre")</f>
        <v>▲ 8 gün önceki aya göre</v>
      </c>
      <c r="P8" s="36"/>
      <c r="Q8" s="36"/>
      <c r="R8" s="36"/>
      <c r="S8" s="36" t="s">
        <v>48</v>
      </c>
      <c r="T8" s="36"/>
      <c r="U8" s="36"/>
      <c r="V8" s="36"/>
      <c r="W8" s="37" t="str">
        <f aca="false">Listeler!$F$11&amp;" gün ve üzeri kalan"</f>
        <v>20 gün ve üzeri kalan</v>
      </c>
      <c r="X8" s="37"/>
      <c r="Y8" s="37"/>
      <c r="Z8" s="24"/>
    </row>
    <row r="9" customFormat="false" ht="9.75" hidden="false" customHeight="true" outlineLevel="0" collapsed="false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customFormat="false" ht="15" hidden="false" customHeight="true" outlineLevel="0" collapsed="false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customFormat="false" ht="15" hidden="false" customHeight="true" outlineLevel="0" collapsed="false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customFormat="false" ht="15" hidden="false" customHeight="true" outlineLevel="0" collapsed="false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customFormat="false" ht="15" hidden="false" customHeight="true" outlineLevel="0" collapsed="false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customFormat="false" ht="15" hidden="false" customHeight="true" outlineLevel="0" collapsed="false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customFormat="false" ht="15" hidden="false" customHeight="true" outlineLevel="0" collapsed="false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customFormat="false" ht="15" hidden="false" customHeight="true" outlineLevel="0" collapsed="false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customFormat="false" ht="15" hidden="false" customHeight="true" outlineLevel="0" collapsed="false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customFormat="false" ht="15" hidden="false" customHeight="true" outlineLevel="0" collapsed="false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customFormat="false" ht="15" hidden="false" customHeight="true" outlineLevel="0" collapsed="false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customFormat="false" ht="15" hidden="false" customHeight="true" outlineLevel="0" collapsed="false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customFormat="false" ht="15" hidden="false" customHeight="true" outlineLevel="0" collapsed="false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customFormat="false" ht="15" hidden="false" customHeight="true" outlineLevel="0" collapsed="false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customFormat="false" ht="15" hidden="false" customHeight="true" outlineLevel="0" collapsed="false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customFormat="false" ht="15" hidden="false" customHeight="true" outlineLevel="0" collapsed="false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customFormat="false" ht="15" hidden="false" customHeight="true" outlineLevel="0" collapsed="false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customFormat="false" ht="19.5" hidden="false" customHeight="true" outlineLevel="0" collapsed="false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38" t="s">
        <v>49</v>
      </c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24"/>
    </row>
    <row r="27" customFormat="false" ht="21.75" hidden="false" customHeight="true" outlineLevel="0" collapsed="false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39" t="s">
        <v>50</v>
      </c>
      <c r="P27" s="39"/>
      <c r="Q27" s="39"/>
      <c r="R27" s="39" t="s">
        <v>51</v>
      </c>
      <c r="S27" s="39"/>
      <c r="T27" s="39" t="s">
        <v>52</v>
      </c>
      <c r="U27" s="39"/>
      <c r="V27" s="39" t="s">
        <v>53</v>
      </c>
      <c r="W27" s="39"/>
      <c r="X27" s="39" t="s">
        <v>40</v>
      </c>
      <c r="Y27" s="39"/>
      <c r="Z27" s="24"/>
    </row>
    <row r="28" customFormat="false" ht="15" hidden="false" customHeight="true" outlineLevel="0" collapsed="false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40" t="str">
        <f aca="false">Hesap!F2</f>
        <v>Enjeksiyon</v>
      </c>
      <c r="P28" s="40"/>
      <c r="Q28" s="40"/>
      <c r="R28" s="41" t="n">
        <f aca="false">Hesap!G2</f>
        <v>7</v>
      </c>
      <c r="S28" s="41"/>
      <c r="T28" s="41" t="n">
        <f aca="false">Hesap!H2</f>
        <v>44</v>
      </c>
      <c r="U28" s="41"/>
      <c r="V28" s="41" t="n">
        <f aca="false">Hesap!I2</f>
        <v>82</v>
      </c>
      <c r="W28" s="41"/>
      <c r="X28" s="42" t="n">
        <f aca="false">Hesap!J2</f>
        <v>0</v>
      </c>
      <c r="Y28" s="42"/>
      <c r="Z28" s="24"/>
    </row>
    <row r="29" customFormat="false" ht="15" hidden="false" customHeight="true" outlineLevel="0" collapsed="false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40" t="str">
        <f aca="false">Hesap!F3</f>
        <v>Montaj</v>
      </c>
      <c r="P29" s="40"/>
      <c r="Q29" s="40"/>
      <c r="R29" s="41" t="n">
        <f aca="false">Hesap!G3</f>
        <v>9</v>
      </c>
      <c r="S29" s="41"/>
      <c r="T29" s="41" t="n">
        <f aca="false">Hesap!H3</f>
        <v>34</v>
      </c>
      <c r="U29" s="41"/>
      <c r="V29" s="41" t="n">
        <f aca="false">Hesap!I3</f>
        <v>164</v>
      </c>
      <c r="W29" s="41"/>
      <c r="X29" s="42" t="n">
        <f aca="false">Hesap!J3</f>
        <v>1</v>
      </c>
      <c r="Y29" s="42"/>
      <c r="Z29" s="24"/>
    </row>
    <row r="30" customFormat="false" ht="15" hidden="false" customHeight="true" outlineLevel="0" collapsed="false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40" t="str">
        <f aca="false">Hesap!F4</f>
        <v>Kalite</v>
      </c>
      <c r="P30" s="40"/>
      <c r="Q30" s="40"/>
      <c r="R30" s="41" t="n">
        <f aca="false">Hesap!G4</f>
        <v>3</v>
      </c>
      <c r="S30" s="41"/>
      <c r="T30" s="41" t="n">
        <f aca="false">Hesap!H4</f>
        <v>12</v>
      </c>
      <c r="U30" s="41"/>
      <c r="V30" s="41" t="n">
        <f aca="false">Hesap!I4</f>
        <v>53</v>
      </c>
      <c r="W30" s="41"/>
      <c r="X30" s="42" t="n">
        <f aca="false">Hesap!J4</f>
        <v>0</v>
      </c>
      <c r="Y30" s="42"/>
      <c r="Z30" s="24"/>
    </row>
    <row r="31" customFormat="false" ht="15" hidden="false" customHeight="true" outlineLevel="0" collapsed="false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40" t="str">
        <f aca="false">Hesap!F5</f>
        <v>Bakım</v>
      </c>
      <c r="P31" s="40"/>
      <c r="Q31" s="40"/>
      <c r="R31" s="41" t="n">
        <f aca="false">Hesap!G5</f>
        <v>2</v>
      </c>
      <c r="S31" s="41"/>
      <c r="T31" s="41" t="n">
        <f aca="false">Hesap!H5</f>
        <v>10</v>
      </c>
      <c r="U31" s="41"/>
      <c r="V31" s="41" t="n">
        <f aca="false">Hesap!I5</f>
        <v>37</v>
      </c>
      <c r="W31" s="41"/>
      <c r="X31" s="42" t="n">
        <f aca="false">Hesap!J5</f>
        <v>0</v>
      </c>
      <c r="Y31" s="42"/>
      <c r="Z31" s="24"/>
    </row>
    <row r="32" customFormat="false" ht="15" hidden="false" customHeight="true" outlineLevel="0" collapsed="false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40" t="str">
        <f aca="false">Hesap!F6</f>
        <v>Depo</v>
      </c>
      <c r="P32" s="40"/>
      <c r="Q32" s="40"/>
      <c r="R32" s="41" t="n">
        <f aca="false">Hesap!G6</f>
        <v>3</v>
      </c>
      <c r="S32" s="41"/>
      <c r="T32" s="41" t="n">
        <f aca="false">Hesap!H6</f>
        <v>8</v>
      </c>
      <c r="U32" s="41"/>
      <c r="V32" s="41" t="n">
        <f aca="false">Hesap!I6</f>
        <v>51</v>
      </c>
      <c r="W32" s="41"/>
      <c r="X32" s="42" t="n">
        <f aca="false">Hesap!J6</f>
        <v>1</v>
      </c>
      <c r="Y32" s="42"/>
      <c r="Z32" s="24"/>
    </row>
    <row r="33" customFormat="false" ht="15" hidden="false" customHeight="true" outlineLevel="0" collapsed="false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40" t="str">
        <f aca="false">Hesap!F7</f>
        <v>Planlama</v>
      </c>
      <c r="P33" s="40"/>
      <c r="Q33" s="40"/>
      <c r="R33" s="41" t="n">
        <f aca="false">Hesap!G7</f>
        <v>1</v>
      </c>
      <c r="S33" s="41"/>
      <c r="T33" s="41" t="n">
        <f aca="false">Hesap!H7</f>
        <v>5</v>
      </c>
      <c r="U33" s="41"/>
      <c r="V33" s="41" t="n">
        <f aca="false">Hesap!I7</f>
        <v>3</v>
      </c>
      <c r="W33" s="41"/>
      <c r="X33" s="42" t="n">
        <f aca="false">Hesap!J7</f>
        <v>0</v>
      </c>
      <c r="Y33" s="42"/>
      <c r="Z33" s="24"/>
    </row>
    <row r="34" customFormat="false" ht="15" hidden="false" customHeight="true" outlineLevel="0" collapsed="false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customFormat="false" ht="19.5" hidden="false" customHeight="true" outlineLevel="0" collapsed="false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38" t="s">
        <v>54</v>
      </c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24"/>
    </row>
    <row r="36" customFormat="false" ht="21.75" hidden="false" customHeight="true" outlineLevel="0" collapsed="false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39" t="s">
        <v>55</v>
      </c>
      <c r="P36" s="39"/>
      <c r="Q36" s="39"/>
      <c r="R36" s="39" t="s">
        <v>51</v>
      </c>
      <c r="S36" s="39"/>
      <c r="T36" s="39" t="s">
        <v>56</v>
      </c>
      <c r="U36" s="39"/>
      <c r="V36" s="39"/>
      <c r="W36" s="39" t="s">
        <v>53</v>
      </c>
      <c r="X36" s="39"/>
      <c r="Y36" s="39"/>
      <c r="Z36" s="24"/>
    </row>
    <row r="37" customFormat="false" ht="15" hidden="false" customHeight="true" outlineLevel="0" collapsed="false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40" t="str">
        <f aca="false">Hesap!X2</f>
        <v>0–1 yıl</v>
      </c>
      <c r="P37" s="40"/>
      <c r="Q37" s="40"/>
      <c r="R37" s="41" t="n">
        <f aca="false">Hesap!Y2</f>
        <v>1</v>
      </c>
      <c r="S37" s="41"/>
      <c r="T37" s="41" t="n">
        <f aca="false">Hesap!Z2</f>
        <v>0</v>
      </c>
      <c r="U37" s="41"/>
      <c r="V37" s="41"/>
      <c r="W37" s="42" t="n">
        <f aca="false">Hesap!AA2</f>
        <v>3</v>
      </c>
      <c r="X37" s="42"/>
      <c r="Y37" s="42"/>
      <c r="Z37" s="24"/>
    </row>
    <row r="38" customFormat="false" ht="15" hidden="false" customHeight="true" outlineLevel="0" collapsed="false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40" t="str">
        <f aca="false">Hesap!X3</f>
        <v>1–5 yıl</v>
      </c>
      <c r="P38" s="40"/>
      <c r="Q38" s="40"/>
      <c r="R38" s="41" t="n">
        <f aca="false">Hesap!Y3</f>
        <v>9</v>
      </c>
      <c r="S38" s="41"/>
      <c r="T38" s="41" t="n">
        <f aca="false">Hesap!Z3</f>
        <v>126</v>
      </c>
      <c r="U38" s="41"/>
      <c r="V38" s="41"/>
      <c r="W38" s="42" t="n">
        <f aca="false">Hesap!AA3</f>
        <v>100</v>
      </c>
      <c r="X38" s="42"/>
      <c r="Y38" s="42"/>
      <c r="Z38" s="24"/>
    </row>
    <row r="39" customFormat="false" ht="15" hidden="false" customHeight="true" outlineLevel="0" collapsed="false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40" t="str">
        <f aca="false">Hesap!X4</f>
        <v>5–15 yıl</v>
      </c>
      <c r="P39" s="40"/>
      <c r="Q39" s="40"/>
      <c r="R39" s="41" t="n">
        <f aca="false">Hesap!Y4</f>
        <v>13</v>
      </c>
      <c r="S39" s="41"/>
      <c r="T39" s="41" t="n">
        <f aca="false">Hesap!Z4</f>
        <v>260</v>
      </c>
      <c r="U39" s="41"/>
      <c r="V39" s="41"/>
      <c r="W39" s="42" t="n">
        <f aca="false">Hesap!AA4</f>
        <v>232</v>
      </c>
      <c r="X39" s="42"/>
      <c r="Y39" s="42"/>
      <c r="Z39" s="24"/>
    </row>
    <row r="40" customFormat="false" ht="15" hidden="false" customHeight="true" outlineLevel="0" collapsed="false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40" t="str">
        <f aca="false">Hesap!X5</f>
        <v>15+ yıl</v>
      </c>
      <c r="P40" s="40"/>
      <c r="Q40" s="40"/>
      <c r="R40" s="41" t="n">
        <f aca="false">Hesap!Y5</f>
        <v>2</v>
      </c>
      <c r="S40" s="41"/>
      <c r="T40" s="41" t="n">
        <f aca="false">Hesap!Z5</f>
        <v>52</v>
      </c>
      <c r="U40" s="41"/>
      <c r="V40" s="41"/>
      <c r="W40" s="42" t="n">
        <f aca="false">Hesap!AA5</f>
        <v>55</v>
      </c>
      <c r="X40" s="42"/>
      <c r="Y40" s="42"/>
      <c r="Z40" s="24"/>
    </row>
    <row r="41" customFormat="false" ht="15" hidden="false" customHeight="true" outlineLevel="0" collapsed="false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customFormat="false" ht="19.5" hidden="false" customHeight="true" outlineLevel="0" collapsed="false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38" t="s">
        <v>57</v>
      </c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24"/>
    </row>
    <row r="43" customFormat="false" ht="21.75" hidden="false" customHeight="true" outlineLevel="0" collapsed="false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39" t="s">
        <v>58</v>
      </c>
      <c r="P43" s="39"/>
      <c r="Q43" s="39"/>
      <c r="R43" s="39"/>
      <c r="S43" s="39" t="s">
        <v>50</v>
      </c>
      <c r="T43" s="39"/>
      <c r="U43" s="39" t="s">
        <v>59</v>
      </c>
      <c r="V43" s="39"/>
      <c r="W43" s="39"/>
      <c r="X43" s="39" t="s">
        <v>60</v>
      </c>
      <c r="Y43" s="39"/>
      <c r="Z43" s="24"/>
    </row>
    <row r="44" customFormat="false" ht="15" hidden="false" customHeight="true" outlineLevel="0" collapsed="false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40" t="str">
        <f aca="false">IFERROR(INDEX('İzin Kayıtları'!$C6:$C305,MATCH(1,Hesap!V$2:V$301,0)),"")</f>
        <v>Burak Çelik</v>
      </c>
      <c r="P44" s="40"/>
      <c r="Q44" s="40"/>
      <c r="R44" s="40"/>
      <c r="S44" s="40" t="str">
        <f aca="false">IFERROR(INDEX('İzin Kayıtları'!$D6:$D305,MATCH(1,Hesap!V$2:V$301,0)),"")</f>
        <v>Montaj</v>
      </c>
      <c r="T44" s="40"/>
      <c r="U44" s="40" t="str">
        <f aca="false">IFERROR(INDEX('İzin Kayıtları'!$E6:$E305,MATCH(1,Hesap!V$2:V$301,0)),"")</f>
        <v>Yıllık izin</v>
      </c>
      <c r="V44" s="40"/>
      <c r="W44" s="40"/>
      <c r="X44" s="43" t="n">
        <f aca="false">IFERROR(INDEX('İzin Kayıtları'!$G6:$G305,MATCH(1,Hesap!V$2:V$301,0)),"")</f>
        <v>46326</v>
      </c>
      <c r="Y44" s="43"/>
      <c r="Z44" s="24"/>
    </row>
    <row r="45" customFormat="false" ht="15" hidden="false" customHeight="true" outlineLevel="0" collapsed="false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40" t="str">
        <f aca="false">IFERROR(INDEX('İzin Kayıtları'!$C6:$C305,MATCH(2,Hesap!V$2:V$301,0)),"")</f>
        <v>Okan Yılmaz</v>
      </c>
      <c r="P45" s="40"/>
      <c r="Q45" s="40"/>
      <c r="R45" s="40"/>
      <c r="S45" s="40" t="str">
        <f aca="false">IFERROR(INDEX('İzin Kayıtları'!$D6:$D305,MATCH(2,Hesap!V$2:V$301,0)),"")</f>
        <v>Depo</v>
      </c>
      <c r="T45" s="40"/>
      <c r="U45" s="40" t="str">
        <f aca="false">IFERROR(INDEX('İzin Kayıtları'!$E6:$E305,MATCH(2,Hesap!V$2:V$301,0)),"")</f>
        <v>Rapor</v>
      </c>
      <c r="V45" s="40"/>
      <c r="W45" s="40"/>
      <c r="X45" s="43" t="n">
        <f aca="false">IFERROR(INDEX('İzin Kayıtları'!$G6:$G305,MATCH(2,Hesap!V$2:V$301,0)),"")</f>
        <v>46324</v>
      </c>
      <c r="Y45" s="43"/>
      <c r="Z45" s="24"/>
    </row>
    <row r="46" customFormat="false" ht="15" hidden="false" customHeight="true" outlineLevel="0" collapsed="false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40" t="str">
        <f aca="false">IFERROR(INDEX('İzin Kayıtları'!$C6:$C305,MATCH(3,Hesap!V$2:V$301,0)),"")</f>
        <v/>
      </c>
      <c r="P46" s="40"/>
      <c r="Q46" s="40"/>
      <c r="R46" s="40"/>
      <c r="S46" s="40" t="str">
        <f aca="false">IFERROR(INDEX('İzin Kayıtları'!$D6:$D305,MATCH(3,Hesap!V$2:V$301,0)),"")</f>
        <v/>
      </c>
      <c r="T46" s="40"/>
      <c r="U46" s="40" t="str">
        <f aca="false">IFERROR(INDEX('İzin Kayıtları'!$E6:$E305,MATCH(3,Hesap!V$2:V$301,0)),"")</f>
        <v/>
      </c>
      <c r="V46" s="40"/>
      <c r="W46" s="40"/>
      <c r="X46" s="43" t="str">
        <f aca="false">IFERROR(INDEX('İzin Kayıtları'!$G6:$G305,MATCH(3,Hesap!V$2:V$301,0)),"")</f>
        <v/>
      </c>
      <c r="Y46" s="43"/>
      <c r="Z46" s="24"/>
    </row>
    <row r="47" customFormat="false" ht="15" hidden="false" customHeight="true" outlineLevel="0" collapsed="false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40" t="str">
        <f aca="false">IFERROR(INDEX('İzin Kayıtları'!$C6:$C305,MATCH(4,Hesap!V$2:V$301,0)),"")</f>
        <v/>
      </c>
      <c r="P47" s="40"/>
      <c r="Q47" s="40"/>
      <c r="R47" s="40"/>
      <c r="S47" s="40" t="str">
        <f aca="false">IFERROR(INDEX('İzin Kayıtları'!$D6:$D305,MATCH(4,Hesap!V$2:V$301,0)),"")</f>
        <v/>
      </c>
      <c r="T47" s="40"/>
      <c r="U47" s="40" t="str">
        <f aca="false">IFERROR(INDEX('İzin Kayıtları'!$E6:$E305,MATCH(4,Hesap!V$2:V$301,0)),"")</f>
        <v/>
      </c>
      <c r="V47" s="40"/>
      <c r="W47" s="40"/>
      <c r="X47" s="43" t="str">
        <f aca="false">IFERROR(INDEX('İzin Kayıtları'!$G6:$G305,MATCH(4,Hesap!V$2:V$301,0)),"")</f>
        <v/>
      </c>
      <c r="Y47" s="43"/>
      <c r="Z47" s="24"/>
    </row>
    <row r="48" customFormat="false" ht="15" hidden="false" customHeight="true" outlineLevel="0" collapsed="false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40" t="str">
        <f aca="false">IFERROR(INDEX('İzin Kayıtları'!$C6:$C305,MATCH(5,Hesap!V$2:V$301,0)),"")</f>
        <v/>
      </c>
      <c r="P48" s="40"/>
      <c r="Q48" s="40"/>
      <c r="R48" s="40"/>
      <c r="S48" s="40" t="str">
        <f aca="false">IFERROR(INDEX('İzin Kayıtları'!$D6:$D305,MATCH(5,Hesap!V$2:V$301,0)),"")</f>
        <v/>
      </c>
      <c r="T48" s="40"/>
      <c r="U48" s="40" t="str">
        <f aca="false">IFERROR(INDEX('İzin Kayıtları'!$E6:$E305,MATCH(5,Hesap!V$2:V$301,0)),"")</f>
        <v/>
      </c>
      <c r="V48" s="40"/>
      <c r="W48" s="40"/>
      <c r="X48" s="43" t="str">
        <f aca="false">IFERROR(INDEX('İzin Kayıtları'!$G6:$G305,MATCH(5,Hesap!V$2:V$301,0)),"")</f>
        <v/>
      </c>
      <c r="Y48" s="43"/>
      <c r="Z48" s="24"/>
    </row>
    <row r="49" customFormat="false" ht="15" hidden="false" customHeight="true" outlineLevel="0" collapsed="false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40" t="str">
        <f aca="false">IFERROR(INDEX('İzin Kayıtları'!$C6:$C305,MATCH(6,Hesap!V$2:V$301,0)),"")</f>
        <v/>
      </c>
      <c r="P49" s="40"/>
      <c r="Q49" s="40"/>
      <c r="R49" s="40"/>
      <c r="S49" s="40" t="str">
        <f aca="false">IFERROR(INDEX('İzin Kayıtları'!$D6:$D305,MATCH(6,Hesap!V$2:V$301,0)),"")</f>
        <v/>
      </c>
      <c r="T49" s="40"/>
      <c r="U49" s="40" t="str">
        <f aca="false">IFERROR(INDEX('İzin Kayıtları'!$E6:$E305,MATCH(6,Hesap!V$2:V$301,0)),"")</f>
        <v/>
      </c>
      <c r="V49" s="40"/>
      <c r="W49" s="40"/>
      <c r="X49" s="43" t="str">
        <f aca="false">IFERROR(INDEX('İzin Kayıtları'!$G6:$G305,MATCH(6,Hesap!V$2:V$301,0)),"")</f>
        <v/>
      </c>
      <c r="Y49" s="43"/>
      <c r="Z49" s="24"/>
    </row>
    <row r="50" customFormat="false" ht="15" hidden="false" customHeight="true" outlineLevel="0" collapsed="false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40" t="str">
        <f aca="false">IFERROR(INDEX('İzin Kayıtları'!$C6:$C305,MATCH(7,Hesap!V$2:V$301,0)),"")</f>
        <v/>
      </c>
      <c r="P50" s="40"/>
      <c r="Q50" s="40"/>
      <c r="R50" s="40"/>
      <c r="S50" s="40" t="str">
        <f aca="false">IFERROR(INDEX('İzin Kayıtları'!$D6:$D305,MATCH(7,Hesap!V$2:V$301,0)),"")</f>
        <v/>
      </c>
      <c r="T50" s="40"/>
      <c r="U50" s="40" t="str">
        <f aca="false">IFERROR(INDEX('İzin Kayıtları'!$E6:$E305,MATCH(7,Hesap!V$2:V$301,0)),"")</f>
        <v/>
      </c>
      <c r="V50" s="40"/>
      <c r="W50" s="40"/>
      <c r="X50" s="43" t="str">
        <f aca="false">IFERROR(INDEX('İzin Kayıtları'!$G6:$G305,MATCH(7,Hesap!V$2:V$301,0)),"")</f>
        <v/>
      </c>
      <c r="Y50" s="43"/>
      <c r="Z50" s="24"/>
    </row>
    <row r="51" customFormat="false" ht="15" hidden="false" customHeight="true" outlineLevel="0" collapsed="false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40" t="str">
        <f aca="false">IFERROR(INDEX('İzin Kayıtları'!$C6:$C305,MATCH(8,Hesap!V$2:V$301,0)),"")</f>
        <v/>
      </c>
      <c r="P51" s="40"/>
      <c r="Q51" s="40"/>
      <c r="R51" s="40"/>
      <c r="S51" s="40" t="str">
        <f aca="false">IFERROR(INDEX('İzin Kayıtları'!$D6:$D305,MATCH(8,Hesap!V$2:V$301,0)),"")</f>
        <v/>
      </c>
      <c r="T51" s="40"/>
      <c r="U51" s="40" t="str">
        <f aca="false">IFERROR(INDEX('İzin Kayıtları'!$E6:$E305,MATCH(8,Hesap!V$2:V$301,0)),"")</f>
        <v/>
      </c>
      <c r="V51" s="40"/>
      <c r="W51" s="40"/>
      <c r="X51" s="43" t="str">
        <f aca="false">IFERROR(INDEX('İzin Kayıtları'!$G6:$G305,MATCH(8,Hesap!V$2:V$301,0)),"")</f>
        <v/>
      </c>
      <c r="Y51" s="43"/>
      <c r="Z51" s="24"/>
    </row>
    <row r="52" customFormat="false" ht="15" hidden="false" customHeight="true" outlineLevel="0" collapsed="false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40" t="str">
        <f aca="false">IFERROR(INDEX('İzin Kayıtları'!$C6:$C305,MATCH(9,Hesap!V$2:V$301,0)),"")</f>
        <v/>
      </c>
      <c r="P52" s="40"/>
      <c r="Q52" s="40"/>
      <c r="R52" s="40"/>
      <c r="S52" s="40" t="str">
        <f aca="false">IFERROR(INDEX('İzin Kayıtları'!$D6:$D305,MATCH(9,Hesap!V$2:V$301,0)),"")</f>
        <v/>
      </c>
      <c r="T52" s="40"/>
      <c r="U52" s="40" t="str">
        <f aca="false">IFERROR(INDEX('İzin Kayıtları'!$E6:$E305,MATCH(9,Hesap!V$2:V$301,0)),"")</f>
        <v/>
      </c>
      <c r="V52" s="40"/>
      <c r="W52" s="40"/>
      <c r="X52" s="43" t="str">
        <f aca="false">IFERROR(INDEX('İzin Kayıtları'!$G6:$G305,MATCH(9,Hesap!V$2:V$301,0)),"")</f>
        <v/>
      </c>
      <c r="Y52" s="43"/>
      <c r="Z52" s="24"/>
    </row>
    <row r="53" customFormat="false" ht="15" hidden="false" customHeight="true" outlineLevel="0" collapsed="false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40" t="str">
        <f aca="false">IFERROR(INDEX('İzin Kayıtları'!$C6:$C305,MATCH(10,Hesap!V$2:V$301,0)),"")</f>
        <v/>
      </c>
      <c r="P53" s="40"/>
      <c r="Q53" s="40"/>
      <c r="R53" s="40"/>
      <c r="S53" s="40" t="str">
        <f aca="false">IFERROR(INDEX('İzin Kayıtları'!$D6:$D305,MATCH(10,Hesap!V$2:V$301,0)),"")</f>
        <v/>
      </c>
      <c r="T53" s="40"/>
      <c r="U53" s="40" t="str">
        <f aca="false">IFERROR(INDEX('İzin Kayıtları'!$E6:$E305,MATCH(10,Hesap!V$2:V$301,0)),"")</f>
        <v/>
      </c>
      <c r="V53" s="40"/>
      <c r="W53" s="40"/>
      <c r="X53" s="43" t="str">
        <f aca="false">IFERROR(INDEX('İzin Kayıtları'!$G6:$G305,MATCH(10,Hesap!V$2:V$301,0)),"")</f>
        <v/>
      </c>
      <c r="Y53" s="43"/>
      <c r="Z53" s="24"/>
    </row>
    <row r="54" customFormat="false" ht="15" hidden="false" customHeight="true" outlineLevel="0" collapsed="false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44" t="s">
        <v>61</v>
      </c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24"/>
    </row>
    <row r="55" customFormat="false" ht="15" hidden="false" customHeight="true" outlineLevel="0" collapsed="false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24"/>
    </row>
    <row r="56" customFormat="false" ht="15" hidden="false" customHeight="true" outlineLevel="0" collapsed="false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customFormat="false" ht="15" hidden="false" customHeight="true" outlineLevel="0" collapsed="false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customFormat="false" ht="15" hidden="false" customHeight="true" outlineLevel="0" collapsed="false">
      <c r="A58" s="45" t="s">
        <v>62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24"/>
    </row>
    <row r="59" customFormat="false" ht="15" hidden="false" customHeight="true" outlineLevel="0" collapsed="false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customFormat="false" ht="15" hidden="false" customHeight="true" outlineLevel="0" collapsed="false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</sheetData>
  <sheetProtection sheet="true" formatCells="false" formatColumns="false" formatRows="false" insertRows="false" deleteRows="false" sort="false" autoFilter="false"/>
  <mergeCells count="133">
    <mergeCell ref="A1:T1"/>
    <mergeCell ref="U1:Y1"/>
    <mergeCell ref="A2:R2"/>
    <mergeCell ref="S2:Y2"/>
    <mergeCell ref="B3:C3"/>
    <mergeCell ref="D3:E3"/>
    <mergeCell ref="F3:G3"/>
    <mergeCell ref="H3:I3"/>
    <mergeCell ref="J3:K3"/>
    <mergeCell ref="O4:R4"/>
    <mergeCell ref="W4:X4"/>
    <mergeCell ref="B5:E5"/>
    <mergeCell ref="F5:I5"/>
    <mergeCell ref="J5:M5"/>
    <mergeCell ref="O5:R5"/>
    <mergeCell ref="S5:V5"/>
    <mergeCell ref="W5:Y5"/>
    <mergeCell ref="B6:E7"/>
    <mergeCell ref="F6:I7"/>
    <mergeCell ref="J6:M7"/>
    <mergeCell ref="O6:R7"/>
    <mergeCell ref="S6:V7"/>
    <mergeCell ref="W6:Y7"/>
    <mergeCell ref="B8:E8"/>
    <mergeCell ref="F8:I8"/>
    <mergeCell ref="J8:M8"/>
    <mergeCell ref="O8:R8"/>
    <mergeCell ref="S8:V8"/>
    <mergeCell ref="W8:Y8"/>
    <mergeCell ref="O26:Y26"/>
    <mergeCell ref="O27:Q27"/>
    <mergeCell ref="R27:S27"/>
    <mergeCell ref="T27:U27"/>
    <mergeCell ref="V27:W27"/>
    <mergeCell ref="X27:Y27"/>
    <mergeCell ref="O28:Q28"/>
    <mergeCell ref="R28:S28"/>
    <mergeCell ref="T28:U28"/>
    <mergeCell ref="V28:W28"/>
    <mergeCell ref="X28:Y28"/>
    <mergeCell ref="O29:Q29"/>
    <mergeCell ref="R29:S29"/>
    <mergeCell ref="T29:U29"/>
    <mergeCell ref="V29:W29"/>
    <mergeCell ref="X29:Y29"/>
    <mergeCell ref="O30:Q30"/>
    <mergeCell ref="R30:S30"/>
    <mergeCell ref="T30:U30"/>
    <mergeCell ref="V30:W30"/>
    <mergeCell ref="X30:Y30"/>
    <mergeCell ref="O31:Q31"/>
    <mergeCell ref="R31:S31"/>
    <mergeCell ref="T31:U31"/>
    <mergeCell ref="V31:W31"/>
    <mergeCell ref="X31:Y31"/>
    <mergeCell ref="O32:Q32"/>
    <mergeCell ref="R32:S32"/>
    <mergeCell ref="T32:U32"/>
    <mergeCell ref="V32:W32"/>
    <mergeCell ref="X32:Y32"/>
    <mergeCell ref="O33:Q33"/>
    <mergeCell ref="R33:S33"/>
    <mergeCell ref="T33:U33"/>
    <mergeCell ref="V33:W33"/>
    <mergeCell ref="X33:Y33"/>
    <mergeCell ref="O35:Y35"/>
    <mergeCell ref="O36:Q36"/>
    <mergeCell ref="R36:S36"/>
    <mergeCell ref="T36:V36"/>
    <mergeCell ref="W36:Y36"/>
    <mergeCell ref="O37:Q37"/>
    <mergeCell ref="R37:S37"/>
    <mergeCell ref="T37:V37"/>
    <mergeCell ref="W37:Y37"/>
    <mergeCell ref="O38:Q38"/>
    <mergeCell ref="R38:S38"/>
    <mergeCell ref="T38:V38"/>
    <mergeCell ref="W38:Y38"/>
    <mergeCell ref="O39:Q39"/>
    <mergeCell ref="R39:S39"/>
    <mergeCell ref="T39:V39"/>
    <mergeCell ref="W39:Y39"/>
    <mergeCell ref="O40:Q40"/>
    <mergeCell ref="R40:S40"/>
    <mergeCell ref="T40:V40"/>
    <mergeCell ref="W40:Y40"/>
    <mergeCell ref="O42:Y42"/>
    <mergeCell ref="O43:R43"/>
    <mergeCell ref="S43:T43"/>
    <mergeCell ref="U43:W43"/>
    <mergeCell ref="X43:Y43"/>
    <mergeCell ref="O44:R44"/>
    <mergeCell ref="S44:T44"/>
    <mergeCell ref="U44:W44"/>
    <mergeCell ref="X44:Y44"/>
    <mergeCell ref="O45:R45"/>
    <mergeCell ref="S45:T45"/>
    <mergeCell ref="U45:W45"/>
    <mergeCell ref="X45:Y45"/>
    <mergeCell ref="O46:R46"/>
    <mergeCell ref="S46:T46"/>
    <mergeCell ref="U46:W46"/>
    <mergeCell ref="X46:Y46"/>
    <mergeCell ref="O47:R47"/>
    <mergeCell ref="S47:T47"/>
    <mergeCell ref="U47:W47"/>
    <mergeCell ref="X47:Y47"/>
    <mergeCell ref="O48:R48"/>
    <mergeCell ref="S48:T48"/>
    <mergeCell ref="U48:W48"/>
    <mergeCell ref="X48:Y48"/>
    <mergeCell ref="O49:R49"/>
    <mergeCell ref="S49:T49"/>
    <mergeCell ref="U49:W49"/>
    <mergeCell ref="X49:Y49"/>
    <mergeCell ref="O50:R50"/>
    <mergeCell ref="S50:T50"/>
    <mergeCell ref="U50:W50"/>
    <mergeCell ref="X50:Y50"/>
    <mergeCell ref="O51:R51"/>
    <mergeCell ref="S51:T51"/>
    <mergeCell ref="U51:W51"/>
    <mergeCell ref="X51:Y51"/>
    <mergeCell ref="O52:R52"/>
    <mergeCell ref="S52:T52"/>
    <mergeCell ref="U52:W52"/>
    <mergeCell ref="X52:Y52"/>
    <mergeCell ref="O53:R53"/>
    <mergeCell ref="S53:T53"/>
    <mergeCell ref="U53:W53"/>
    <mergeCell ref="X53:Y53"/>
    <mergeCell ref="O54:Y55"/>
    <mergeCell ref="A58:Y58"/>
  </mergeCells>
  <conditionalFormatting sqref="O8">
    <cfRule type="expression" priority="2" aboveAverage="0" equalAverage="0" bottom="0" percent="0" rank="0" text="" dxfId="0">
      <formula>LEFT(O8,1)="▲"</formula>
    </cfRule>
    <cfRule type="expression" priority="3" aboveAverage="0" equalAverage="0" bottom="0" percent="0" rank="0" text="" dxfId="1">
      <formula>LEFT(O8,1)="▼"</formula>
    </cfRule>
  </conditionalFormatting>
  <conditionalFormatting sqref="X28:X33">
    <cfRule type="cellIs" priority="4" operator="greaterThan" aboveAverage="0" equalAverage="0" bottom="0" percent="0" rank="0" text="" dxfId="2">
      <formula>0</formula>
    </cfRule>
  </conditionalFormatting>
  <dataValidations count="1">
    <dataValidation allowBlank="false" errorStyle="stop" operator="between" showDropDown="false" showErrorMessage="false" showInputMessage="false" sqref="O4" type="list">
      <formula1>Listeler!$A$5:$A$20</formula1>
      <formula2>0</formula2>
    </dataValidation>
  </dataValidations>
  <hyperlinks>
    <hyperlink ref="B3" location="'Dashboard'!A1" display="Dashboard"/>
    <hyperlink ref="D3" location="'İzin Kayıtları'!A1" display="·  İzin Kayıtları"/>
    <hyperlink ref="F3" location="'Personel'!A1" display="·  Personel"/>
    <hyperlink ref="H3" location="'Listeler'!A1" display="·  Listeler"/>
    <hyperlink ref="J3" location="'Nasıl kullanılır'!A1" display="·  Nasıl kullanılır"/>
  </hyperlink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&amp;K64748bTAKMOS · takmoserp.com&amp;C&amp;8 &amp;K64748bÖrnek veriler kurgusaldır&amp;R&amp;8 &amp;K64748bSayfa 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9"/>
    <col collapsed="false" customWidth="true" hidden="false" outlineLevel="0" max="3" min="3" style="0" width="22"/>
    <col collapsed="false" customWidth="true" hidden="false" outlineLevel="0" max="4" min="4" style="0" width="13"/>
    <col collapsed="false" customWidth="true" hidden="false" outlineLevel="0" max="5" min="5" style="0" width="15"/>
    <col collapsed="false" customWidth="true" hidden="false" outlineLevel="0" max="7" min="6" style="0" width="12"/>
    <col collapsed="false" customWidth="true" hidden="false" outlineLevel="0" max="8" min="8" style="0" width="7"/>
    <col collapsed="false" customWidth="true" hidden="false" outlineLevel="0" max="9" min="9" style="0" width="12"/>
    <col collapsed="false" customWidth="true" hidden="false" outlineLevel="0" max="10" min="10" style="0" width="26"/>
    <col collapsed="false" customWidth="true" hidden="false" outlineLevel="0" max="11" min="11" style="0" width="6"/>
    <col collapsed="false" customWidth="true" hidden="false" outlineLevel="0" max="12" min="12" style="0" width="5"/>
  </cols>
  <sheetData>
    <row r="1" customFormat="false" ht="33.75" hidden="false" customHeight="true" outlineLevel="0" collapsed="false">
      <c r="A1" s="20" t="s">
        <v>63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customFormat="false" ht="19.5" hidden="false" customHeight="true" outlineLevel="0" collapsed="false">
      <c r="A2" s="22" t="s">
        <v>64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customFormat="false" ht="15" hidden="false" customHeight="false" outlineLevel="0" collapsed="false">
      <c r="A3" s="46" t="s">
        <v>31</v>
      </c>
      <c r="B3" s="47" t="s">
        <v>32</v>
      </c>
      <c r="C3" s="46" t="s">
        <v>33</v>
      </c>
      <c r="D3" s="46" t="s">
        <v>34</v>
      </c>
      <c r="E3" s="46" t="s">
        <v>35</v>
      </c>
    </row>
    <row r="4" customFormat="false" ht="15" hidden="false" customHeight="false" outlineLevel="0" collapsed="false">
      <c r="A4" s="48" t="s">
        <v>65</v>
      </c>
    </row>
    <row r="5" customFormat="false" ht="27.75" hidden="false" customHeight="true" outlineLevel="0" collapsed="false">
      <c r="A5" s="39" t="s">
        <v>66</v>
      </c>
      <c r="B5" s="39" t="s">
        <v>67</v>
      </c>
      <c r="C5" s="39" t="s">
        <v>58</v>
      </c>
      <c r="D5" s="39" t="s">
        <v>50</v>
      </c>
      <c r="E5" s="39" t="s">
        <v>59</v>
      </c>
      <c r="F5" s="39" t="s">
        <v>68</v>
      </c>
      <c r="G5" s="39" t="s">
        <v>69</v>
      </c>
      <c r="H5" s="39" t="s">
        <v>70</v>
      </c>
      <c r="I5" s="39" t="s">
        <v>71</v>
      </c>
      <c r="J5" s="39" t="s">
        <v>72</v>
      </c>
      <c r="K5" s="39" t="s">
        <v>73</v>
      </c>
      <c r="L5" s="39" t="s">
        <v>74</v>
      </c>
    </row>
    <row r="6" customFormat="false" ht="15" hidden="false" customHeight="false" outlineLevel="0" collapsed="false">
      <c r="A6" s="49" t="n">
        <f aca="false">IF(B6="","",ROW()-5)</f>
        <v>1</v>
      </c>
      <c r="B6" s="50" t="s">
        <v>75</v>
      </c>
      <c r="C6" s="51" t="str">
        <f aca="false">IFERROR(INDEX(Personel!$B:$B,MATCH(B6,Personel!$A:$A,0)),"")</f>
        <v>Selin Öztürk</v>
      </c>
      <c r="D6" s="51" t="str">
        <f aca="false">IFERROR(INDEX(Personel!$C:$C,MATCH(B6,Personel!$A:$A,0)),"")</f>
        <v>Kalite</v>
      </c>
      <c r="E6" s="52" t="s">
        <v>76</v>
      </c>
      <c r="F6" s="53" t="n">
        <v>46030</v>
      </c>
      <c r="G6" s="53" t="n">
        <v>46030</v>
      </c>
      <c r="H6" s="54" t="n">
        <f aca="false">IF(OR(F6="",G6=""),"",G6-F6+1-INT((G6-F6+WEEKDAY(F6,2))/7))</f>
        <v>1</v>
      </c>
      <c r="I6" s="50" t="s">
        <v>77</v>
      </c>
      <c r="J6" s="52"/>
      <c r="K6" s="49" t="n">
        <f aca="false">IF(F6="","",YEAR(F6))</f>
        <v>2026</v>
      </c>
      <c r="L6" s="49" t="n">
        <f aca="false">IF(F6="","",MONTH(F6))</f>
        <v>1</v>
      </c>
    </row>
    <row r="7" customFormat="false" ht="15" hidden="false" customHeight="false" outlineLevel="0" collapsed="false">
      <c r="A7" s="49" t="n">
        <f aca="false">IF(B7="","",ROW()-5)</f>
        <v>2</v>
      </c>
      <c r="B7" s="50" t="s">
        <v>78</v>
      </c>
      <c r="C7" s="51" t="str">
        <f aca="false">IFERROR(INDEX(Personel!$B:$B,MATCH(B7,Personel!$A:$A,0)),"")</f>
        <v>Barış Kılıç</v>
      </c>
      <c r="D7" s="51" t="str">
        <f aca="false">IFERROR(INDEX(Personel!$C:$C,MATCH(B7,Personel!$A:$A,0)),"")</f>
        <v>Montaj</v>
      </c>
      <c r="E7" s="52" t="s">
        <v>79</v>
      </c>
      <c r="F7" s="53" t="n">
        <v>46035</v>
      </c>
      <c r="G7" s="53" t="n">
        <v>46036</v>
      </c>
      <c r="H7" s="54" t="n">
        <f aca="false">IF(OR(F7="",G7=""),"",G7-F7+1-INT((G7-F7+WEEKDAY(F7,2))/7))</f>
        <v>2</v>
      </c>
      <c r="I7" s="50" t="s">
        <v>77</v>
      </c>
      <c r="J7" s="52"/>
      <c r="K7" s="49" t="n">
        <f aca="false">IF(F7="","",YEAR(F7))</f>
        <v>2026</v>
      </c>
      <c r="L7" s="49" t="n">
        <f aca="false">IF(F7="","",MONTH(F7))</f>
        <v>1</v>
      </c>
    </row>
    <row r="8" customFormat="false" ht="15" hidden="false" customHeight="false" outlineLevel="0" collapsed="false">
      <c r="A8" s="49" t="n">
        <f aca="false">IF(B8="","",ROW()-5)</f>
        <v>3</v>
      </c>
      <c r="B8" s="50" t="s">
        <v>80</v>
      </c>
      <c r="C8" s="51" t="str">
        <f aca="false">IFERROR(INDEX(Personel!$B:$B,MATCH(B8,Personel!$A:$A,0)),"")</f>
        <v>Nur Aksoy</v>
      </c>
      <c r="D8" s="51" t="str">
        <f aca="false">IFERROR(INDEX(Personel!$C:$C,MATCH(B8,Personel!$A:$A,0)),"")</f>
        <v>Enjeksiyon</v>
      </c>
      <c r="E8" s="52" t="s">
        <v>76</v>
      </c>
      <c r="F8" s="53" t="n">
        <v>46043</v>
      </c>
      <c r="G8" s="53" t="n">
        <v>46045</v>
      </c>
      <c r="H8" s="54" t="n">
        <f aca="false">IF(OR(F8="",G8=""),"",G8-F8+1-INT((G8-F8+WEEKDAY(F8,2))/7))</f>
        <v>3</v>
      </c>
      <c r="I8" s="50" t="s">
        <v>77</v>
      </c>
      <c r="J8" s="52"/>
      <c r="K8" s="49" t="n">
        <f aca="false">IF(F8="","",YEAR(F8))</f>
        <v>2026</v>
      </c>
      <c r="L8" s="49" t="n">
        <f aca="false">IF(F8="","",MONTH(F8))</f>
        <v>1</v>
      </c>
    </row>
    <row r="9" customFormat="false" ht="15" hidden="false" customHeight="false" outlineLevel="0" collapsed="false">
      <c r="A9" s="49" t="n">
        <f aca="false">IF(B9="","",ROW()-5)</f>
        <v>4</v>
      </c>
      <c r="B9" s="50" t="s">
        <v>81</v>
      </c>
      <c r="C9" s="51" t="str">
        <f aca="false">IFERROR(INDEX(Personel!$B:$B,MATCH(B9,Personel!$A:$A,0)),"")</f>
        <v>Volkan Ergin</v>
      </c>
      <c r="D9" s="51" t="str">
        <f aca="false">IFERROR(INDEX(Personel!$C:$C,MATCH(B9,Personel!$A:$A,0)),"")</f>
        <v>Enjeksiyon</v>
      </c>
      <c r="E9" s="52" t="s">
        <v>76</v>
      </c>
      <c r="F9" s="53" t="n">
        <v>46058</v>
      </c>
      <c r="G9" s="53" t="n">
        <v>46060</v>
      </c>
      <c r="H9" s="54" t="n">
        <f aca="false">IF(OR(F9="",G9=""),"",G9-F9+1-INT((G9-F9+WEEKDAY(F9,2))/7))</f>
        <v>3</v>
      </c>
      <c r="I9" s="50" t="s">
        <v>77</v>
      </c>
      <c r="J9" s="52"/>
      <c r="K9" s="49" t="n">
        <f aca="false">IF(F9="","",YEAR(F9))</f>
        <v>2026</v>
      </c>
      <c r="L9" s="49" t="n">
        <f aca="false">IF(F9="","",MONTH(F9))</f>
        <v>2</v>
      </c>
    </row>
    <row r="10" customFormat="false" ht="15" hidden="false" customHeight="false" outlineLevel="0" collapsed="false">
      <c r="A10" s="49" t="n">
        <f aca="false">IF(B10="","",ROW()-5)</f>
        <v>5</v>
      </c>
      <c r="B10" s="50" t="s">
        <v>82</v>
      </c>
      <c r="C10" s="51" t="str">
        <f aca="false">IFERROR(INDEX(Personel!$B:$B,MATCH(B10,Personel!$A:$A,0)),"")</f>
        <v>Hande Yavuz</v>
      </c>
      <c r="D10" s="51" t="str">
        <f aca="false">IFERROR(INDEX(Personel!$C:$C,MATCH(B10,Personel!$A:$A,0)),"")</f>
        <v>Montaj</v>
      </c>
      <c r="E10" s="52" t="s">
        <v>76</v>
      </c>
      <c r="F10" s="53" t="n">
        <v>46063</v>
      </c>
      <c r="G10" s="53" t="n">
        <v>46063</v>
      </c>
      <c r="H10" s="54" t="n">
        <f aca="false">IF(OR(F10="",G10=""),"",G10-F10+1-INT((G10-F10+WEEKDAY(F10,2))/7))</f>
        <v>1</v>
      </c>
      <c r="I10" s="50" t="s">
        <v>77</v>
      </c>
      <c r="J10" s="52"/>
      <c r="K10" s="49" t="n">
        <f aca="false">IF(F10="","",YEAR(F10))</f>
        <v>2026</v>
      </c>
      <c r="L10" s="49" t="n">
        <f aca="false">IF(F10="","",MONTH(F10))</f>
        <v>2</v>
      </c>
    </row>
    <row r="11" customFormat="false" ht="15" hidden="false" customHeight="false" outlineLevel="0" collapsed="false">
      <c r="A11" s="49" t="n">
        <f aca="false">IF(B11="","",ROW()-5)</f>
        <v>6</v>
      </c>
      <c r="B11" s="50" t="s">
        <v>83</v>
      </c>
      <c r="C11" s="51" t="str">
        <f aca="false">IFERROR(INDEX(Personel!$B:$B,MATCH(B11,Personel!$A:$A,0)),"")</f>
        <v>Elif Yıldız</v>
      </c>
      <c r="D11" s="51" t="str">
        <f aca="false">IFERROR(INDEX(Personel!$C:$C,MATCH(B11,Personel!$A:$A,0)),"")</f>
        <v>Enjeksiyon</v>
      </c>
      <c r="E11" s="52" t="s">
        <v>79</v>
      </c>
      <c r="F11" s="53" t="n">
        <v>46063</v>
      </c>
      <c r="G11" s="53" t="n">
        <v>46068</v>
      </c>
      <c r="H11" s="54" t="n">
        <f aca="false">IF(OR(F11="",G11=""),"",G11-F11+1-INT((G11-F11+WEEKDAY(F11,2))/7))</f>
        <v>5</v>
      </c>
      <c r="I11" s="50" t="s">
        <v>77</v>
      </c>
      <c r="J11" s="52"/>
      <c r="K11" s="49" t="n">
        <f aca="false">IF(F11="","",YEAR(F11))</f>
        <v>2026</v>
      </c>
      <c r="L11" s="49" t="n">
        <f aca="false">IF(F11="","",MONTH(F11))</f>
        <v>2</v>
      </c>
    </row>
    <row r="12" customFormat="false" ht="15" hidden="false" customHeight="false" outlineLevel="0" collapsed="false">
      <c r="A12" s="49" t="n">
        <f aca="false">IF(B12="","",ROW()-5)</f>
        <v>7</v>
      </c>
      <c r="B12" s="50" t="s">
        <v>84</v>
      </c>
      <c r="C12" s="51" t="str">
        <f aca="false">IFERROR(INDEX(Personel!$B:$B,MATCH(B12,Personel!$A:$A,0)),"")</f>
        <v>Ayşe Demir</v>
      </c>
      <c r="D12" s="51" t="str">
        <f aca="false">IFERROR(INDEX(Personel!$C:$C,MATCH(B12,Personel!$A:$A,0)),"")</f>
        <v>Enjeksiyon</v>
      </c>
      <c r="E12" s="52" t="s">
        <v>76</v>
      </c>
      <c r="F12" s="53" t="n">
        <v>46067</v>
      </c>
      <c r="G12" s="53" t="n">
        <v>46069</v>
      </c>
      <c r="H12" s="54" t="n">
        <f aca="false">IF(OR(F12="",G12=""),"",G12-F12+1-INT((G12-F12+WEEKDAY(F12,2))/7))</f>
        <v>2</v>
      </c>
      <c r="I12" s="50" t="s">
        <v>77</v>
      </c>
      <c r="J12" s="52"/>
      <c r="K12" s="49" t="n">
        <f aca="false">IF(F12="","",YEAR(F12))</f>
        <v>2026</v>
      </c>
      <c r="L12" s="49" t="n">
        <f aca="false">IF(F12="","",MONTH(F12))</f>
        <v>2</v>
      </c>
    </row>
    <row r="13" customFormat="false" ht="15" hidden="false" customHeight="false" outlineLevel="0" collapsed="false">
      <c r="A13" s="49" t="n">
        <f aca="false">IF(B13="","",ROW()-5)</f>
        <v>8</v>
      </c>
      <c r="B13" s="50" t="s">
        <v>85</v>
      </c>
      <c r="C13" s="51" t="str">
        <f aca="false">IFERROR(INDEX(Personel!$B:$B,MATCH(B13,Personel!$A:$A,0)),"")</f>
        <v>Can Aydın</v>
      </c>
      <c r="D13" s="51" t="str">
        <f aca="false">IFERROR(INDEX(Personel!$C:$C,MATCH(B13,Personel!$A:$A,0)),"")</f>
        <v>Kalite</v>
      </c>
      <c r="E13" s="52" t="s">
        <v>79</v>
      </c>
      <c r="F13" s="53" t="n">
        <v>46079</v>
      </c>
      <c r="G13" s="53" t="n">
        <v>46084</v>
      </c>
      <c r="H13" s="54" t="n">
        <f aca="false">IF(OR(F13="",G13=""),"",G13-F13+1-INT((G13-F13+WEEKDAY(F13,2))/7))</f>
        <v>5</v>
      </c>
      <c r="I13" s="50" t="s">
        <v>77</v>
      </c>
      <c r="J13" s="52"/>
      <c r="K13" s="49" t="n">
        <f aca="false">IF(F13="","",YEAR(F13))</f>
        <v>2026</v>
      </c>
      <c r="L13" s="49" t="n">
        <f aca="false">IF(F13="","",MONTH(F13))</f>
        <v>2</v>
      </c>
    </row>
    <row r="14" customFormat="false" ht="15" hidden="false" customHeight="false" outlineLevel="0" collapsed="false">
      <c r="A14" s="49" t="n">
        <f aca="false">IF(B14="","",ROW()-5)</f>
        <v>9</v>
      </c>
      <c r="B14" s="50" t="s">
        <v>86</v>
      </c>
      <c r="C14" s="51" t="str">
        <f aca="false">IFERROR(INDEX(Personel!$B:$B,MATCH(B14,Personel!$A:$A,0)),"")</f>
        <v>Ece Karaca</v>
      </c>
      <c r="D14" s="51" t="str">
        <f aca="false">IFERROR(INDEX(Personel!$C:$C,MATCH(B14,Personel!$A:$A,0)),"")</f>
        <v>Enjeksiyon</v>
      </c>
      <c r="E14" s="52" t="s">
        <v>79</v>
      </c>
      <c r="F14" s="53" t="n">
        <v>46085</v>
      </c>
      <c r="G14" s="53" t="n">
        <v>46089</v>
      </c>
      <c r="H14" s="54" t="n">
        <f aca="false">IF(OR(F14="",G14=""),"",G14-F14+1-INT((G14-F14+WEEKDAY(F14,2))/7))</f>
        <v>4</v>
      </c>
      <c r="I14" s="50" t="s">
        <v>77</v>
      </c>
      <c r="J14" s="52"/>
      <c r="K14" s="49" t="n">
        <f aca="false">IF(F14="","",YEAR(F14))</f>
        <v>2026</v>
      </c>
      <c r="L14" s="49" t="n">
        <f aca="false">IF(F14="","",MONTH(F14))</f>
        <v>3</v>
      </c>
    </row>
    <row r="15" customFormat="false" ht="15" hidden="false" customHeight="false" outlineLevel="0" collapsed="false">
      <c r="A15" s="49" t="n">
        <f aca="false">IF(B15="","",ROW()-5)</f>
        <v>10</v>
      </c>
      <c r="B15" s="50" t="s">
        <v>82</v>
      </c>
      <c r="C15" s="51" t="str">
        <f aca="false">IFERROR(INDEX(Personel!$B:$B,MATCH(B15,Personel!$A:$A,0)),"")</f>
        <v>Hande Yavuz</v>
      </c>
      <c r="D15" s="51" t="str">
        <f aca="false">IFERROR(INDEX(Personel!$C:$C,MATCH(B15,Personel!$A:$A,0)),"")</f>
        <v>Montaj</v>
      </c>
      <c r="E15" s="52" t="s">
        <v>76</v>
      </c>
      <c r="F15" s="53" t="n">
        <v>46097</v>
      </c>
      <c r="G15" s="53" t="n">
        <v>46099</v>
      </c>
      <c r="H15" s="54" t="n">
        <f aca="false">IF(OR(F15="",G15=""),"",G15-F15+1-INT((G15-F15+WEEKDAY(F15,2))/7))</f>
        <v>3</v>
      </c>
      <c r="I15" s="50" t="s">
        <v>77</v>
      </c>
      <c r="J15" s="52"/>
      <c r="K15" s="49" t="n">
        <f aca="false">IF(F15="","",YEAR(F15))</f>
        <v>2026</v>
      </c>
      <c r="L15" s="49" t="n">
        <f aca="false">IF(F15="","",MONTH(F15))</f>
        <v>3</v>
      </c>
    </row>
    <row r="16" customFormat="false" ht="15" hidden="false" customHeight="false" outlineLevel="0" collapsed="false">
      <c r="A16" s="49" t="n">
        <f aca="false">IF(B16="","",ROW()-5)</f>
        <v>11</v>
      </c>
      <c r="B16" s="50" t="s">
        <v>86</v>
      </c>
      <c r="C16" s="51" t="str">
        <f aca="false">IFERROR(INDEX(Personel!$B:$B,MATCH(B16,Personel!$A:$A,0)),"")</f>
        <v>Ece Karaca</v>
      </c>
      <c r="D16" s="51" t="str">
        <f aca="false">IFERROR(INDEX(Personel!$C:$C,MATCH(B16,Personel!$A:$A,0)),"")</f>
        <v>Enjeksiyon</v>
      </c>
      <c r="E16" s="52" t="s">
        <v>76</v>
      </c>
      <c r="F16" s="53" t="n">
        <v>46115</v>
      </c>
      <c r="G16" s="53" t="n">
        <v>46115</v>
      </c>
      <c r="H16" s="54" t="n">
        <f aca="false">IF(OR(F16="",G16=""),"",G16-F16+1-INT((G16-F16+WEEKDAY(F16,2))/7))</f>
        <v>1</v>
      </c>
      <c r="I16" s="50" t="s">
        <v>77</v>
      </c>
      <c r="J16" s="52"/>
      <c r="K16" s="49" t="n">
        <f aca="false">IF(F16="","",YEAR(F16))</f>
        <v>2026</v>
      </c>
      <c r="L16" s="49" t="n">
        <f aca="false">IF(F16="","",MONTH(F16))</f>
        <v>4</v>
      </c>
    </row>
    <row r="17" customFormat="false" ht="15" hidden="false" customHeight="false" outlineLevel="0" collapsed="false">
      <c r="A17" s="49" t="n">
        <f aca="false">IF(B17="","",ROW()-5)</f>
        <v>12</v>
      </c>
      <c r="B17" s="50" t="s">
        <v>83</v>
      </c>
      <c r="C17" s="51" t="str">
        <f aca="false">IFERROR(INDEX(Personel!$B:$B,MATCH(B17,Personel!$A:$A,0)),"")</f>
        <v>Elif Yıldız</v>
      </c>
      <c r="D17" s="51" t="str">
        <f aca="false">IFERROR(INDEX(Personel!$C:$C,MATCH(B17,Personel!$A:$A,0)),"")</f>
        <v>Enjeksiyon</v>
      </c>
      <c r="E17" s="52" t="s">
        <v>76</v>
      </c>
      <c r="F17" s="53" t="n">
        <v>46116</v>
      </c>
      <c r="G17" s="53" t="n">
        <v>46118</v>
      </c>
      <c r="H17" s="54" t="n">
        <f aca="false">IF(OR(F17="",G17=""),"",G17-F17+1-INT((G17-F17+WEEKDAY(F17,2))/7))</f>
        <v>2</v>
      </c>
      <c r="I17" s="50" t="s">
        <v>77</v>
      </c>
      <c r="J17" s="52"/>
      <c r="K17" s="49" t="n">
        <f aca="false">IF(F17="","",YEAR(F17))</f>
        <v>2026</v>
      </c>
      <c r="L17" s="49" t="n">
        <f aca="false">IF(F17="","",MONTH(F17))</f>
        <v>4</v>
      </c>
    </row>
    <row r="18" customFormat="false" ht="15" hidden="false" customHeight="false" outlineLevel="0" collapsed="false">
      <c r="A18" s="49" t="n">
        <f aca="false">IF(B18="","",ROW()-5)</f>
        <v>13</v>
      </c>
      <c r="B18" s="50" t="s">
        <v>87</v>
      </c>
      <c r="C18" s="51" t="str">
        <f aca="false">IFERROR(INDEX(Personel!$B:$B,MATCH(B18,Personel!$A:$A,0)),"")</f>
        <v>Gamze Polat</v>
      </c>
      <c r="D18" s="51" t="str">
        <f aca="false">IFERROR(INDEX(Personel!$C:$C,MATCH(B18,Personel!$A:$A,0)),"")</f>
        <v>Planlama</v>
      </c>
      <c r="E18" s="52" t="s">
        <v>79</v>
      </c>
      <c r="F18" s="53" t="n">
        <v>46118</v>
      </c>
      <c r="G18" s="53" t="n">
        <v>46119</v>
      </c>
      <c r="H18" s="54" t="n">
        <f aca="false">IF(OR(F18="",G18=""),"",G18-F18+1-INT((G18-F18+WEEKDAY(F18,2))/7))</f>
        <v>2</v>
      </c>
      <c r="I18" s="50" t="s">
        <v>77</v>
      </c>
      <c r="J18" s="52"/>
      <c r="K18" s="49" t="n">
        <f aca="false">IF(F18="","",YEAR(F18))</f>
        <v>2026</v>
      </c>
      <c r="L18" s="49" t="n">
        <f aca="false">IF(F18="","",MONTH(F18))</f>
        <v>4</v>
      </c>
    </row>
    <row r="19" customFormat="false" ht="15" hidden="false" customHeight="false" outlineLevel="0" collapsed="false">
      <c r="A19" s="49" t="n">
        <f aca="false">IF(B19="","",ROW()-5)</f>
        <v>14</v>
      </c>
      <c r="B19" s="50" t="s">
        <v>88</v>
      </c>
      <c r="C19" s="51" t="str">
        <f aca="false">IFERROR(INDEX(Personel!$B:$B,MATCH(B19,Personel!$A:$A,0)),"")</f>
        <v>Emre Şahin</v>
      </c>
      <c r="D19" s="51" t="str">
        <f aca="false">IFERROR(INDEX(Personel!$C:$C,MATCH(B19,Personel!$A:$A,0)),"")</f>
        <v>Montaj</v>
      </c>
      <c r="E19" s="52" t="s">
        <v>76</v>
      </c>
      <c r="F19" s="53" t="n">
        <v>46123</v>
      </c>
      <c r="G19" s="53" t="n">
        <v>46124</v>
      </c>
      <c r="H19" s="54" t="n">
        <f aca="false">IF(OR(F19="",G19=""),"",G19-F19+1-INT((G19-F19+WEEKDAY(F19,2))/7))</f>
        <v>1</v>
      </c>
      <c r="I19" s="50" t="s">
        <v>77</v>
      </c>
      <c r="J19" s="52"/>
      <c r="K19" s="49" t="n">
        <f aca="false">IF(F19="","",YEAR(F19))</f>
        <v>2026</v>
      </c>
      <c r="L19" s="49" t="n">
        <f aca="false">IF(F19="","",MONTH(F19))</f>
        <v>4</v>
      </c>
    </row>
    <row r="20" customFormat="false" ht="15" hidden="false" customHeight="false" outlineLevel="0" collapsed="false">
      <c r="A20" s="49" t="n">
        <f aca="false">IF(B20="","",ROW()-5)</f>
        <v>15</v>
      </c>
      <c r="B20" s="50" t="s">
        <v>83</v>
      </c>
      <c r="C20" s="51" t="str">
        <f aca="false">IFERROR(INDEX(Personel!$B:$B,MATCH(B20,Personel!$A:$A,0)),"")</f>
        <v>Elif Yıldız</v>
      </c>
      <c r="D20" s="51" t="str">
        <f aca="false">IFERROR(INDEX(Personel!$C:$C,MATCH(B20,Personel!$A:$A,0)),"")</f>
        <v>Enjeksiyon</v>
      </c>
      <c r="E20" s="52" t="s">
        <v>79</v>
      </c>
      <c r="F20" s="53" t="n">
        <v>46124</v>
      </c>
      <c r="G20" s="53" t="n">
        <v>46126</v>
      </c>
      <c r="H20" s="54" t="n">
        <f aca="false">IF(OR(F20="",G20=""),"",G20-F20+1-INT((G20-F20+WEEKDAY(F20,2))/7))</f>
        <v>2</v>
      </c>
      <c r="I20" s="50" t="s">
        <v>77</v>
      </c>
      <c r="J20" s="52"/>
      <c r="K20" s="49" t="n">
        <f aca="false">IF(F20="","",YEAR(F20))</f>
        <v>2026</v>
      </c>
      <c r="L20" s="49" t="n">
        <f aca="false">IF(F20="","",MONTH(F20))</f>
        <v>4</v>
      </c>
    </row>
    <row r="21" customFormat="false" ht="15" hidden="false" customHeight="false" outlineLevel="0" collapsed="false">
      <c r="A21" s="49" t="n">
        <f aca="false">IF(B21="","",ROW()-5)</f>
        <v>16</v>
      </c>
      <c r="B21" s="50" t="s">
        <v>84</v>
      </c>
      <c r="C21" s="51" t="str">
        <f aca="false">IFERROR(INDEX(Personel!$B:$B,MATCH(B21,Personel!$A:$A,0)),"")</f>
        <v>Ayşe Demir</v>
      </c>
      <c r="D21" s="51" t="str">
        <f aca="false">IFERROR(INDEX(Personel!$C:$C,MATCH(B21,Personel!$A:$A,0)),"")</f>
        <v>Enjeksiyon</v>
      </c>
      <c r="E21" s="52" t="s">
        <v>79</v>
      </c>
      <c r="F21" s="53" t="n">
        <v>46125</v>
      </c>
      <c r="G21" s="53" t="n">
        <v>46126</v>
      </c>
      <c r="H21" s="54" t="n">
        <f aca="false">IF(OR(F21="",G21=""),"",G21-F21+1-INT((G21-F21+WEEKDAY(F21,2))/7))</f>
        <v>2</v>
      </c>
      <c r="I21" s="50" t="s">
        <v>77</v>
      </c>
      <c r="J21" s="52"/>
      <c r="K21" s="49" t="n">
        <f aca="false">IF(F21="","",YEAR(F21))</f>
        <v>2026</v>
      </c>
      <c r="L21" s="49" t="n">
        <f aca="false">IF(F21="","",MONTH(F21))</f>
        <v>4</v>
      </c>
    </row>
    <row r="22" customFormat="false" ht="15" hidden="false" customHeight="false" outlineLevel="0" collapsed="false">
      <c r="A22" s="49" t="n">
        <f aca="false">IF(B22="","",ROW()-5)</f>
        <v>17</v>
      </c>
      <c r="B22" s="50" t="s">
        <v>89</v>
      </c>
      <c r="C22" s="51" t="str">
        <f aca="false">IFERROR(INDEX(Personel!$B:$B,MATCH(B22,Personel!$A:$A,0)),"")</f>
        <v>Serkan Acar</v>
      </c>
      <c r="D22" s="51" t="str">
        <f aca="false">IFERROR(INDEX(Personel!$C:$C,MATCH(B22,Personel!$A:$A,0)),"")</f>
        <v>Enjeksiyon</v>
      </c>
      <c r="E22" s="52" t="s">
        <v>79</v>
      </c>
      <c r="F22" s="53" t="n">
        <v>46129</v>
      </c>
      <c r="G22" s="53" t="n">
        <v>46134</v>
      </c>
      <c r="H22" s="54" t="n">
        <f aca="false">IF(OR(F22="",G22=""),"",G22-F22+1-INT((G22-F22+WEEKDAY(F22,2))/7))</f>
        <v>5</v>
      </c>
      <c r="I22" s="50" t="s">
        <v>77</v>
      </c>
      <c r="J22" s="52"/>
      <c r="K22" s="49" t="n">
        <f aca="false">IF(F22="","",YEAR(F22))</f>
        <v>2026</v>
      </c>
      <c r="L22" s="49" t="n">
        <f aca="false">IF(F22="","",MONTH(F22))</f>
        <v>4</v>
      </c>
    </row>
    <row r="23" customFormat="false" ht="15" hidden="false" customHeight="false" outlineLevel="0" collapsed="false">
      <c r="A23" s="49" t="n">
        <f aca="false">IF(B23="","",ROW()-5)</f>
        <v>18</v>
      </c>
      <c r="B23" s="50" t="s">
        <v>83</v>
      </c>
      <c r="C23" s="51" t="str">
        <f aca="false">IFERROR(INDEX(Personel!$B:$B,MATCH(B23,Personel!$A:$A,0)),"")</f>
        <v>Elif Yıldız</v>
      </c>
      <c r="D23" s="51" t="str">
        <f aca="false">IFERROR(INDEX(Personel!$C:$C,MATCH(B23,Personel!$A:$A,0)),"")</f>
        <v>Enjeksiyon</v>
      </c>
      <c r="E23" s="52" t="s">
        <v>79</v>
      </c>
      <c r="F23" s="53" t="n">
        <v>46129</v>
      </c>
      <c r="G23" s="53" t="n">
        <v>46129</v>
      </c>
      <c r="H23" s="54" t="n">
        <f aca="false">IF(OR(F23="",G23=""),"",G23-F23+1-INT((G23-F23+WEEKDAY(F23,2))/7))</f>
        <v>1</v>
      </c>
      <c r="I23" s="50" t="s">
        <v>77</v>
      </c>
      <c r="J23" s="52"/>
      <c r="K23" s="49" t="n">
        <f aca="false">IF(F23="","",YEAR(F23))</f>
        <v>2026</v>
      </c>
      <c r="L23" s="49" t="n">
        <f aca="false">IF(F23="","",MONTH(F23))</f>
        <v>4</v>
      </c>
    </row>
    <row r="24" customFormat="false" ht="15" hidden="false" customHeight="false" outlineLevel="0" collapsed="false">
      <c r="A24" s="49" t="n">
        <f aca="false">IF(B24="","",ROW()-5)</f>
        <v>19</v>
      </c>
      <c r="B24" s="50" t="s">
        <v>88</v>
      </c>
      <c r="C24" s="51" t="str">
        <f aca="false">IFERROR(INDEX(Personel!$B:$B,MATCH(B24,Personel!$A:$A,0)),"")</f>
        <v>Emre Şahin</v>
      </c>
      <c r="D24" s="51" t="str">
        <f aca="false">IFERROR(INDEX(Personel!$C:$C,MATCH(B24,Personel!$A:$A,0)),"")</f>
        <v>Montaj</v>
      </c>
      <c r="E24" s="52" t="s">
        <v>90</v>
      </c>
      <c r="F24" s="53" t="n">
        <v>46136</v>
      </c>
      <c r="G24" s="53" t="n">
        <v>46138</v>
      </c>
      <c r="H24" s="54" t="n">
        <f aca="false">IF(OR(F24="",G24=""),"",G24-F24+1-INT((G24-F24+WEEKDAY(F24,2))/7))</f>
        <v>2</v>
      </c>
      <c r="I24" s="50" t="s">
        <v>77</v>
      </c>
      <c r="J24" s="52"/>
      <c r="K24" s="49" t="n">
        <f aca="false">IF(F24="","",YEAR(F24))</f>
        <v>2026</v>
      </c>
      <c r="L24" s="49" t="n">
        <f aca="false">IF(F24="","",MONTH(F24))</f>
        <v>4</v>
      </c>
    </row>
    <row r="25" customFormat="false" ht="15" hidden="false" customHeight="false" outlineLevel="0" collapsed="false">
      <c r="A25" s="49" t="n">
        <f aca="false">IF(B25="","",ROW()-5)</f>
        <v>20</v>
      </c>
      <c r="B25" s="50" t="s">
        <v>91</v>
      </c>
      <c r="C25" s="51" t="str">
        <f aca="false">IFERROR(INDEX(Personel!$B:$B,MATCH(B25,Personel!$A:$A,0)),"")</f>
        <v>Onur Bozkurt</v>
      </c>
      <c r="D25" s="51" t="str">
        <f aca="false">IFERROR(INDEX(Personel!$C:$C,MATCH(B25,Personel!$A:$A,0)),"")</f>
        <v>Montaj</v>
      </c>
      <c r="E25" s="52" t="s">
        <v>79</v>
      </c>
      <c r="F25" s="53" t="n">
        <v>46149</v>
      </c>
      <c r="G25" s="53" t="n">
        <v>46151</v>
      </c>
      <c r="H25" s="54" t="n">
        <f aca="false">IF(OR(F25="",G25=""),"",G25-F25+1-INT((G25-F25+WEEKDAY(F25,2))/7))</f>
        <v>3</v>
      </c>
      <c r="I25" s="50" t="s">
        <v>77</v>
      </c>
      <c r="J25" s="52"/>
      <c r="K25" s="49" t="n">
        <f aca="false">IF(F25="","",YEAR(F25))</f>
        <v>2026</v>
      </c>
      <c r="L25" s="49" t="n">
        <f aca="false">IF(F25="","",MONTH(F25))</f>
        <v>5</v>
      </c>
    </row>
    <row r="26" customFormat="false" ht="15" hidden="false" customHeight="false" outlineLevel="0" collapsed="false">
      <c r="A26" s="49" t="n">
        <f aca="false">IF(B26="","",ROW()-5)</f>
        <v>21</v>
      </c>
      <c r="B26" s="50" t="s">
        <v>88</v>
      </c>
      <c r="C26" s="51" t="str">
        <f aca="false">IFERROR(INDEX(Personel!$B:$B,MATCH(B26,Personel!$A:$A,0)),"")</f>
        <v>Emre Şahin</v>
      </c>
      <c r="D26" s="51" t="str">
        <f aca="false">IFERROR(INDEX(Personel!$C:$C,MATCH(B26,Personel!$A:$A,0)),"")</f>
        <v>Montaj</v>
      </c>
      <c r="E26" s="52" t="s">
        <v>79</v>
      </c>
      <c r="F26" s="53" t="n">
        <v>46154</v>
      </c>
      <c r="G26" s="53" t="n">
        <v>46158</v>
      </c>
      <c r="H26" s="54" t="n">
        <f aca="false">IF(OR(F26="",G26=""),"",G26-F26+1-INT((G26-F26+WEEKDAY(F26,2))/7))</f>
        <v>5</v>
      </c>
      <c r="I26" s="50" t="s">
        <v>77</v>
      </c>
      <c r="J26" s="52"/>
      <c r="K26" s="49" t="n">
        <f aca="false">IF(F26="","",YEAR(F26))</f>
        <v>2026</v>
      </c>
      <c r="L26" s="49" t="n">
        <f aca="false">IF(F26="","",MONTH(F26))</f>
        <v>5</v>
      </c>
    </row>
    <row r="27" customFormat="false" ht="15" hidden="false" customHeight="false" outlineLevel="0" collapsed="false">
      <c r="A27" s="49" t="n">
        <f aca="false">IF(B27="","",ROW()-5)</f>
        <v>22</v>
      </c>
      <c r="B27" s="50" t="s">
        <v>87</v>
      </c>
      <c r="C27" s="51" t="str">
        <f aca="false">IFERROR(INDEX(Personel!$B:$B,MATCH(B27,Personel!$A:$A,0)),"")</f>
        <v>Gamze Polat</v>
      </c>
      <c r="D27" s="51" t="str">
        <f aca="false">IFERROR(INDEX(Personel!$C:$C,MATCH(B27,Personel!$A:$A,0)),"")</f>
        <v>Planlama</v>
      </c>
      <c r="E27" s="52" t="s">
        <v>79</v>
      </c>
      <c r="F27" s="53" t="n">
        <v>46178</v>
      </c>
      <c r="G27" s="53" t="n">
        <v>46179</v>
      </c>
      <c r="H27" s="54" t="n">
        <f aca="false">IF(OR(F27="",G27=""),"",G27-F27+1-INT((G27-F27+WEEKDAY(F27,2))/7))</f>
        <v>2</v>
      </c>
      <c r="I27" s="50" t="s">
        <v>77</v>
      </c>
      <c r="J27" s="52"/>
      <c r="K27" s="49" t="n">
        <f aca="false">IF(F27="","",YEAR(F27))</f>
        <v>2026</v>
      </c>
      <c r="L27" s="49" t="n">
        <f aca="false">IF(F27="","",MONTH(F27))</f>
        <v>6</v>
      </c>
    </row>
    <row r="28" customFormat="false" ht="15" hidden="false" customHeight="false" outlineLevel="0" collapsed="false">
      <c r="A28" s="49" t="n">
        <f aca="false">IF(B28="","",ROW()-5)</f>
        <v>23</v>
      </c>
      <c r="B28" s="50" t="s">
        <v>92</v>
      </c>
      <c r="C28" s="51" t="str">
        <f aca="false">IFERROR(INDEX(Personel!$B:$B,MATCH(B28,Personel!$A:$A,0)),"")</f>
        <v>Zeynep Arslan</v>
      </c>
      <c r="D28" s="51" t="str">
        <f aca="false">IFERROR(INDEX(Personel!$C:$C,MATCH(B28,Personel!$A:$A,0)),"")</f>
        <v>Montaj</v>
      </c>
      <c r="E28" s="52" t="s">
        <v>79</v>
      </c>
      <c r="F28" s="53" t="n">
        <v>46179</v>
      </c>
      <c r="G28" s="53" t="n">
        <v>46179</v>
      </c>
      <c r="H28" s="54" t="n">
        <f aca="false">IF(OR(F28="",G28=""),"",G28-F28+1-INT((G28-F28+WEEKDAY(F28,2))/7))</f>
        <v>1</v>
      </c>
      <c r="I28" s="50" t="s">
        <v>77</v>
      </c>
      <c r="J28" s="52"/>
      <c r="K28" s="49" t="n">
        <f aca="false">IF(F28="","",YEAR(F28))</f>
        <v>2026</v>
      </c>
      <c r="L28" s="49" t="n">
        <f aca="false">IF(F28="","",MONTH(F28))</f>
        <v>6</v>
      </c>
    </row>
    <row r="29" customFormat="false" ht="15" hidden="false" customHeight="false" outlineLevel="0" collapsed="false">
      <c r="A29" s="49" t="n">
        <f aca="false">IF(B29="","",ROW()-5)</f>
        <v>24</v>
      </c>
      <c r="B29" s="50" t="s">
        <v>93</v>
      </c>
      <c r="C29" s="51" t="str">
        <f aca="false">IFERROR(INDEX(Personel!$B:$B,MATCH(B29,Personel!$A:$A,0)),"")</f>
        <v>Merve Koç</v>
      </c>
      <c r="D29" s="51" t="str">
        <f aca="false">IFERROR(INDEX(Personel!$C:$C,MATCH(B29,Personel!$A:$A,0)),"")</f>
        <v>Montaj</v>
      </c>
      <c r="E29" s="52" t="s">
        <v>79</v>
      </c>
      <c r="F29" s="53" t="n">
        <v>46179</v>
      </c>
      <c r="G29" s="53" t="n">
        <v>46179</v>
      </c>
      <c r="H29" s="54" t="n">
        <f aca="false">IF(OR(F29="",G29=""),"",G29-F29+1-INT((G29-F29+WEEKDAY(F29,2))/7))</f>
        <v>1</v>
      </c>
      <c r="I29" s="50" t="s">
        <v>77</v>
      </c>
      <c r="J29" s="52"/>
      <c r="K29" s="49" t="n">
        <f aca="false">IF(F29="","",YEAR(F29))</f>
        <v>2026</v>
      </c>
      <c r="L29" s="49" t="n">
        <f aca="false">IF(F29="","",MONTH(F29))</f>
        <v>6</v>
      </c>
    </row>
    <row r="30" customFormat="false" ht="15" hidden="false" customHeight="false" outlineLevel="0" collapsed="false">
      <c r="A30" s="49" t="n">
        <f aca="false">IF(B30="","",ROW()-5)</f>
        <v>25</v>
      </c>
      <c r="B30" s="50" t="s">
        <v>83</v>
      </c>
      <c r="C30" s="51" t="str">
        <f aca="false">IFERROR(INDEX(Personel!$B:$B,MATCH(B30,Personel!$A:$A,0)),"")</f>
        <v>Elif Yıldız</v>
      </c>
      <c r="D30" s="51" t="str">
        <f aca="false">IFERROR(INDEX(Personel!$C:$C,MATCH(B30,Personel!$A:$A,0)),"")</f>
        <v>Enjeksiyon</v>
      </c>
      <c r="E30" s="52" t="s">
        <v>76</v>
      </c>
      <c r="F30" s="53" t="n">
        <v>46180</v>
      </c>
      <c r="G30" s="53" t="n">
        <v>46181</v>
      </c>
      <c r="H30" s="54" t="n">
        <f aca="false">IF(OR(F30="",G30=""),"",G30-F30+1-INT((G30-F30+WEEKDAY(F30,2))/7))</f>
        <v>1</v>
      </c>
      <c r="I30" s="50" t="s">
        <v>77</v>
      </c>
      <c r="J30" s="52"/>
      <c r="K30" s="49" t="n">
        <f aca="false">IF(F30="","",YEAR(F30))</f>
        <v>2026</v>
      </c>
      <c r="L30" s="49" t="n">
        <f aca="false">IF(F30="","",MONTH(F30))</f>
        <v>6</v>
      </c>
    </row>
    <row r="31" customFormat="false" ht="15" hidden="false" customHeight="false" outlineLevel="0" collapsed="false">
      <c r="A31" s="49" t="n">
        <f aca="false">IF(B31="","",ROW()-5)</f>
        <v>26</v>
      </c>
      <c r="B31" s="50" t="s">
        <v>92</v>
      </c>
      <c r="C31" s="51" t="str">
        <f aca="false">IFERROR(INDEX(Personel!$B:$B,MATCH(B31,Personel!$A:$A,0)),"")</f>
        <v>Zeynep Arslan</v>
      </c>
      <c r="D31" s="51" t="str">
        <f aca="false">IFERROR(INDEX(Personel!$C:$C,MATCH(B31,Personel!$A:$A,0)),"")</f>
        <v>Montaj</v>
      </c>
      <c r="E31" s="52" t="s">
        <v>79</v>
      </c>
      <c r="F31" s="53" t="n">
        <v>46183</v>
      </c>
      <c r="G31" s="53" t="n">
        <v>46183</v>
      </c>
      <c r="H31" s="54" t="n">
        <f aca="false">IF(OR(F31="",G31=""),"",G31-F31+1-INT((G31-F31+WEEKDAY(F31,2))/7))</f>
        <v>1</v>
      </c>
      <c r="I31" s="50" t="s">
        <v>77</v>
      </c>
      <c r="J31" s="52"/>
      <c r="K31" s="49" t="n">
        <f aca="false">IF(F31="","",YEAR(F31))</f>
        <v>2026</v>
      </c>
      <c r="L31" s="49" t="n">
        <f aca="false">IF(F31="","",MONTH(F31))</f>
        <v>6</v>
      </c>
    </row>
    <row r="32" customFormat="false" ht="15" hidden="false" customHeight="false" outlineLevel="0" collapsed="false">
      <c r="A32" s="49" t="n">
        <f aca="false">IF(B32="","",ROW()-5)</f>
        <v>27</v>
      </c>
      <c r="B32" s="50" t="s">
        <v>94</v>
      </c>
      <c r="C32" s="51" t="str">
        <f aca="false">IFERROR(INDEX(Personel!$B:$B,MATCH(B32,Personel!$A:$A,0)),"")</f>
        <v>Büşra Erdem</v>
      </c>
      <c r="D32" s="51" t="str">
        <f aca="false">IFERROR(INDEX(Personel!$C:$C,MATCH(B32,Personel!$A:$A,0)),"")</f>
        <v>Montaj</v>
      </c>
      <c r="E32" s="52" t="s">
        <v>90</v>
      </c>
      <c r="F32" s="53" t="n">
        <v>46184</v>
      </c>
      <c r="G32" s="53" t="n">
        <v>46185</v>
      </c>
      <c r="H32" s="54" t="n">
        <f aca="false">IF(OR(F32="",G32=""),"",G32-F32+1-INT((G32-F32+WEEKDAY(F32,2))/7))</f>
        <v>2</v>
      </c>
      <c r="I32" s="50" t="s">
        <v>77</v>
      </c>
      <c r="J32" s="52"/>
      <c r="K32" s="49" t="n">
        <f aca="false">IF(F32="","",YEAR(F32))</f>
        <v>2026</v>
      </c>
      <c r="L32" s="49" t="n">
        <f aca="false">IF(F32="","",MONTH(F32))</f>
        <v>6</v>
      </c>
    </row>
    <row r="33" customFormat="false" ht="15" hidden="false" customHeight="false" outlineLevel="0" collapsed="false">
      <c r="A33" s="49" t="n">
        <f aca="false">IF(B33="","",ROW()-5)</f>
        <v>28</v>
      </c>
      <c r="B33" s="50" t="s">
        <v>95</v>
      </c>
      <c r="C33" s="51" t="str">
        <f aca="false">IFERROR(INDEX(Personel!$B:$B,MATCH(B33,Personel!$A:$A,0)),"")</f>
        <v>Sibel Taş</v>
      </c>
      <c r="D33" s="51" t="str">
        <f aca="false">IFERROR(INDEX(Personel!$C:$C,MATCH(B33,Personel!$A:$A,0)),"")</f>
        <v>Depo</v>
      </c>
      <c r="E33" s="52" t="s">
        <v>79</v>
      </c>
      <c r="F33" s="53" t="n">
        <v>46186</v>
      </c>
      <c r="G33" s="53" t="n">
        <v>46195</v>
      </c>
      <c r="H33" s="54" t="n">
        <f aca="false">IF(OR(F33="",G33=""),"",G33-F33+1-INT((G33-F33+WEEKDAY(F33,2))/7))</f>
        <v>8</v>
      </c>
      <c r="I33" s="50" t="s">
        <v>77</v>
      </c>
      <c r="J33" s="52"/>
      <c r="K33" s="49" t="n">
        <f aca="false">IF(F33="","",YEAR(F33))</f>
        <v>2026</v>
      </c>
      <c r="L33" s="49" t="n">
        <f aca="false">IF(F33="","",MONTH(F33))</f>
        <v>6</v>
      </c>
    </row>
    <row r="34" customFormat="false" ht="15" hidden="false" customHeight="false" outlineLevel="0" collapsed="false">
      <c r="A34" s="49" t="n">
        <f aca="false">IF(B34="","",ROW()-5)</f>
        <v>29</v>
      </c>
      <c r="B34" s="50" t="s">
        <v>96</v>
      </c>
      <c r="C34" s="51" t="str">
        <f aca="false">IFERROR(INDEX(Personel!$B:$B,MATCH(B34,Personel!$A:$A,0)),"")</f>
        <v>Mehmet Kaya</v>
      </c>
      <c r="D34" s="51" t="str">
        <f aca="false">IFERROR(INDEX(Personel!$C:$C,MATCH(B34,Personel!$A:$A,0)),"")</f>
        <v>Enjeksiyon</v>
      </c>
      <c r="E34" s="52" t="s">
        <v>79</v>
      </c>
      <c r="F34" s="53" t="n">
        <v>46191</v>
      </c>
      <c r="G34" s="53" t="n">
        <v>46193</v>
      </c>
      <c r="H34" s="54" t="n">
        <f aca="false">IF(OR(F34="",G34=""),"",G34-F34+1-INT((G34-F34+WEEKDAY(F34,2))/7))</f>
        <v>3</v>
      </c>
      <c r="I34" s="50" t="s">
        <v>77</v>
      </c>
      <c r="J34" s="52"/>
      <c r="K34" s="49" t="n">
        <f aca="false">IF(F34="","",YEAR(F34))</f>
        <v>2026</v>
      </c>
      <c r="L34" s="49" t="n">
        <f aca="false">IF(F34="","",MONTH(F34))</f>
        <v>6</v>
      </c>
    </row>
    <row r="35" customFormat="false" ht="15" hidden="false" customHeight="false" outlineLevel="0" collapsed="false">
      <c r="A35" s="49" t="n">
        <f aca="false">IF(B35="","",ROW()-5)</f>
        <v>30</v>
      </c>
      <c r="B35" s="50" t="s">
        <v>89</v>
      </c>
      <c r="C35" s="51" t="str">
        <f aca="false">IFERROR(INDEX(Personel!$B:$B,MATCH(B35,Personel!$A:$A,0)),"")</f>
        <v>Serkan Acar</v>
      </c>
      <c r="D35" s="51" t="str">
        <f aca="false">IFERROR(INDEX(Personel!$C:$C,MATCH(B35,Personel!$A:$A,0)),"")</f>
        <v>Enjeksiyon</v>
      </c>
      <c r="E35" s="52" t="s">
        <v>79</v>
      </c>
      <c r="F35" s="53" t="n">
        <v>46199</v>
      </c>
      <c r="G35" s="53" t="n">
        <v>46200</v>
      </c>
      <c r="H35" s="54" t="n">
        <f aca="false">IF(OR(F35="",G35=""),"",G35-F35+1-INT((G35-F35+WEEKDAY(F35,2))/7))</f>
        <v>2</v>
      </c>
      <c r="I35" s="50" t="s">
        <v>77</v>
      </c>
      <c r="J35" s="52"/>
      <c r="K35" s="49" t="n">
        <f aca="false">IF(F35="","",YEAR(F35))</f>
        <v>2026</v>
      </c>
      <c r="L35" s="49" t="n">
        <f aca="false">IF(F35="","",MONTH(F35))</f>
        <v>6</v>
      </c>
    </row>
    <row r="36" customFormat="false" ht="15" hidden="false" customHeight="false" outlineLevel="0" collapsed="false">
      <c r="A36" s="49" t="n">
        <f aca="false">IF(B36="","",ROW()-5)</f>
        <v>31</v>
      </c>
      <c r="B36" s="50" t="s">
        <v>97</v>
      </c>
      <c r="C36" s="51" t="str">
        <f aca="false">IFERROR(INDEX(Personel!$B:$B,MATCH(B36,Personel!$A:$A,0)),"")</f>
        <v>Pınar Tekin</v>
      </c>
      <c r="D36" s="51" t="str">
        <f aca="false">IFERROR(INDEX(Personel!$C:$C,MATCH(B36,Personel!$A:$A,0)),"")</f>
        <v>Bakım</v>
      </c>
      <c r="E36" s="52" t="s">
        <v>98</v>
      </c>
      <c r="F36" s="53" t="n">
        <v>46208</v>
      </c>
      <c r="G36" s="53" t="n">
        <v>46210</v>
      </c>
      <c r="H36" s="54" t="n">
        <f aca="false">IF(OR(F36="",G36=""),"",G36-F36+1-INT((G36-F36+WEEKDAY(F36,2))/7))</f>
        <v>2</v>
      </c>
      <c r="I36" s="50" t="s">
        <v>77</v>
      </c>
      <c r="J36" s="52"/>
      <c r="K36" s="49" t="n">
        <f aca="false">IF(F36="","",YEAR(F36))</f>
        <v>2026</v>
      </c>
      <c r="L36" s="49" t="n">
        <f aca="false">IF(F36="","",MONTH(F36))</f>
        <v>7</v>
      </c>
    </row>
    <row r="37" customFormat="false" ht="15" hidden="false" customHeight="false" outlineLevel="0" collapsed="false">
      <c r="A37" s="49" t="n">
        <f aca="false">IF(B37="","",ROW()-5)</f>
        <v>32</v>
      </c>
      <c r="B37" s="50" t="s">
        <v>84</v>
      </c>
      <c r="C37" s="51" t="str">
        <f aca="false">IFERROR(INDEX(Personel!$B:$B,MATCH(B37,Personel!$A:$A,0)),"")</f>
        <v>Ayşe Demir</v>
      </c>
      <c r="D37" s="51" t="str">
        <f aca="false">IFERROR(INDEX(Personel!$C:$C,MATCH(B37,Personel!$A:$A,0)),"")</f>
        <v>Enjeksiyon</v>
      </c>
      <c r="E37" s="52" t="s">
        <v>76</v>
      </c>
      <c r="F37" s="53" t="n">
        <v>46209</v>
      </c>
      <c r="G37" s="53" t="n">
        <v>46210</v>
      </c>
      <c r="H37" s="54" t="n">
        <f aca="false">IF(OR(F37="",G37=""),"",G37-F37+1-INT((G37-F37+WEEKDAY(F37,2))/7))</f>
        <v>2</v>
      </c>
      <c r="I37" s="50" t="s">
        <v>77</v>
      </c>
      <c r="J37" s="52"/>
      <c r="K37" s="49" t="n">
        <f aca="false">IF(F37="","",YEAR(F37))</f>
        <v>2026</v>
      </c>
      <c r="L37" s="49" t="n">
        <f aca="false">IF(F37="","",MONTH(F37))</f>
        <v>7</v>
      </c>
    </row>
    <row r="38" customFormat="false" ht="15" hidden="false" customHeight="false" outlineLevel="0" collapsed="false">
      <c r="A38" s="49" t="n">
        <f aca="false">IF(B38="","",ROW()-5)</f>
        <v>33</v>
      </c>
      <c r="B38" s="50" t="s">
        <v>80</v>
      </c>
      <c r="C38" s="51" t="str">
        <f aca="false">IFERROR(INDEX(Personel!$B:$B,MATCH(B38,Personel!$A:$A,0)),"")</f>
        <v>Nur Aksoy</v>
      </c>
      <c r="D38" s="51" t="str">
        <f aca="false">IFERROR(INDEX(Personel!$C:$C,MATCH(B38,Personel!$A:$A,0)),"")</f>
        <v>Enjeksiyon</v>
      </c>
      <c r="E38" s="52" t="s">
        <v>98</v>
      </c>
      <c r="F38" s="53" t="n">
        <v>46210</v>
      </c>
      <c r="G38" s="53" t="n">
        <v>46211</v>
      </c>
      <c r="H38" s="54" t="n">
        <f aca="false">IF(OR(F38="",G38=""),"",G38-F38+1-INT((G38-F38+WEEKDAY(F38,2))/7))</f>
        <v>2</v>
      </c>
      <c r="I38" s="50" t="s">
        <v>77</v>
      </c>
      <c r="J38" s="52"/>
      <c r="K38" s="49" t="n">
        <f aca="false">IF(F38="","",YEAR(F38))</f>
        <v>2026</v>
      </c>
      <c r="L38" s="49" t="n">
        <f aca="false">IF(F38="","",MONTH(F38))</f>
        <v>7</v>
      </c>
    </row>
    <row r="39" customFormat="false" ht="15" hidden="false" customHeight="false" outlineLevel="0" collapsed="false">
      <c r="A39" s="49" t="n">
        <f aca="false">IF(B39="","",ROW()-5)</f>
        <v>34</v>
      </c>
      <c r="B39" s="50" t="s">
        <v>92</v>
      </c>
      <c r="C39" s="51" t="str">
        <f aca="false">IFERROR(INDEX(Personel!$B:$B,MATCH(B39,Personel!$A:$A,0)),"")</f>
        <v>Zeynep Arslan</v>
      </c>
      <c r="D39" s="51" t="str">
        <f aca="false">IFERROR(INDEX(Personel!$C:$C,MATCH(B39,Personel!$A:$A,0)),"")</f>
        <v>Montaj</v>
      </c>
      <c r="E39" s="52" t="s">
        <v>98</v>
      </c>
      <c r="F39" s="53" t="n">
        <v>46211</v>
      </c>
      <c r="G39" s="53" t="n">
        <v>46213</v>
      </c>
      <c r="H39" s="54" t="n">
        <f aca="false">IF(OR(F39="",G39=""),"",G39-F39+1-INT((G39-F39+WEEKDAY(F39,2))/7))</f>
        <v>3</v>
      </c>
      <c r="I39" s="50" t="s">
        <v>77</v>
      </c>
      <c r="J39" s="52"/>
      <c r="K39" s="49" t="n">
        <f aca="false">IF(F39="","",YEAR(F39))</f>
        <v>2026</v>
      </c>
      <c r="L39" s="49" t="n">
        <f aca="false">IF(F39="","",MONTH(F39))</f>
        <v>7</v>
      </c>
    </row>
    <row r="40" customFormat="false" ht="15" hidden="false" customHeight="false" outlineLevel="0" collapsed="false">
      <c r="A40" s="49" t="n">
        <f aca="false">IF(B40="","",ROW()-5)</f>
        <v>35</v>
      </c>
      <c r="B40" s="50" t="s">
        <v>85</v>
      </c>
      <c r="C40" s="51" t="str">
        <f aca="false">IFERROR(INDEX(Personel!$B:$B,MATCH(B40,Personel!$A:$A,0)),"")</f>
        <v>Can Aydın</v>
      </c>
      <c r="D40" s="51" t="str">
        <f aca="false">IFERROR(INDEX(Personel!$C:$C,MATCH(B40,Personel!$A:$A,0)),"")</f>
        <v>Kalite</v>
      </c>
      <c r="E40" s="52" t="s">
        <v>79</v>
      </c>
      <c r="F40" s="53" t="n">
        <v>46213</v>
      </c>
      <c r="G40" s="53" t="n">
        <v>46218</v>
      </c>
      <c r="H40" s="54" t="n">
        <f aca="false">IF(OR(F40="",G40=""),"",G40-F40+1-INT((G40-F40+WEEKDAY(F40,2))/7))</f>
        <v>5</v>
      </c>
      <c r="I40" s="50" t="s">
        <v>77</v>
      </c>
      <c r="J40" s="52"/>
      <c r="K40" s="49" t="n">
        <f aca="false">IF(F40="","",YEAR(F40))</f>
        <v>2026</v>
      </c>
      <c r="L40" s="49" t="n">
        <f aca="false">IF(F40="","",MONTH(F40))</f>
        <v>7</v>
      </c>
    </row>
    <row r="41" customFormat="false" ht="15" hidden="false" customHeight="false" outlineLevel="0" collapsed="false">
      <c r="A41" s="49" t="n">
        <f aca="false">IF(B41="","",ROW()-5)</f>
        <v>36</v>
      </c>
      <c r="B41" s="50" t="s">
        <v>94</v>
      </c>
      <c r="C41" s="51" t="str">
        <f aca="false">IFERROR(INDEX(Personel!$B:$B,MATCH(B41,Personel!$A:$A,0)),"")</f>
        <v>Büşra Erdem</v>
      </c>
      <c r="D41" s="51" t="str">
        <f aca="false">IFERROR(INDEX(Personel!$C:$C,MATCH(B41,Personel!$A:$A,0)),"")</f>
        <v>Montaj</v>
      </c>
      <c r="E41" s="52" t="s">
        <v>79</v>
      </c>
      <c r="F41" s="53" t="n">
        <v>46216</v>
      </c>
      <c r="G41" s="53" t="n">
        <v>46216</v>
      </c>
      <c r="H41" s="54" t="n">
        <f aca="false">IF(OR(F41="",G41=""),"",G41-F41+1-INT((G41-F41+WEEKDAY(F41,2))/7))</f>
        <v>1</v>
      </c>
      <c r="I41" s="50" t="s">
        <v>77</v>
      </c>
      <c r="J41" s="52"/>
      <c r="K41" s="49" t="n">
        <f aca="false">IF(F41="","",YEAR(F41))</f>
        <v>2026</v>
      </c>
      <c r="L41" s="49" t="n">
        <f aca="false">IF(F41="","",MONTH(F41))</f>
        <v>7</v>
      </c>
    </row>
    <row r="42" customFormat="false" ht="15" hidden="false" customHeight="false" outlineLevel="0" collapsed="false">
      <c r="A42" s="49" t="n">
        <f aca="false">IF(B42="","",ROW()-5)</f>
        <v>37</v>
      </c>
      <c r="B42" s="50" t="s">
        <v>84</v>
      </c>
      <c r="C42" s="51" t="str">
        <f aca="false">IFERROR(INDEX(Personel!$B:$B,MATCH(B42,Personel!$A:$A,0)),"")</f>
        <v>Ayşe Demir</v>
      </c>
      <c r="D42" s="51" t="str">
        <f aca="false">IFERROR(INDEX(Personel!$C:$C,MATCH(B42,Personel!$A:$A,0)),"")</f>
        <v>Enjeksiyon</v>
      </c>
      <c r="E42" s="52" t="s">
        <v>79</v>
      </c>
      <c r="F42" s="53" t="n">
        <v>46216</v>
      </c>
      <c r="G42" s="53" t="n">
        <v>46225</v>
      </c>
      <c r="H42" s="54" t="n">
        <f aca="false">IF(OR(F42="",G42=""),"",G42-F42+1-INT((G42-F42+WEEKDAY(F42,2))/7))</f>
        <v>9</v>
      </c>
      <c r="I42" s="50" t="s">
        <v>77</v>
      </c>
      <c r="J42" s="52"/>
      <c r="K42" s="49" t="n">
        <f aca="false">IF(F42="","",YEAR(F42))</f>
        <v>2026</v>
      </c>
      <c r="L42" s="49" t="n">
        <f aca="false">IF(F42="","",MONTH(F42))</f>
        <v>7</v>
      </c>
    </row>
    <row r="43" customFormat="false" ht="15" hidden="false" customHeight="false" outlineLevel="0" collapsed="false">
      <c r="A43" s="49" t="n">
        <f aca="false">IF(B43="","",ROW()-5)</f>
        <v>38</v>
      </c>
      <c r="B43" s="50" t="s">
        <v>80</v>
      </c>
      <c r="C43" s="51" t="str">
        <f aca="false">IFERROR(INDEX(Personel!$B:$B,MATCH(B43,Personel!$A:$A,0)),"")</f>
        <v>Nur Aksoy</v>
      </c>
      <c r="D43" s="51" t="str">
        <f aca="false">IFERROR(INDEX(Personel!$C:$C,MATCH(B43,Personel!$A:$A,0)),"")</f>
        <v>Enjeksiyon</v>
      </c>
      <c r="E43" s="52" t="s">
        <v>90</v>
      </c>
      <c r="F43" s="53" t="n">
        <v>46222</v>
      </c>
      <c r="G43" s="53" t="n">
        <v>46222</v>
      </c>
      <c r="H43" s="54" t="n">
        <f aca="false">IF(OR(F43="",G43=""),"",G43-F43+1-INT((G43-F43+WEEKDAY(F43,2))/7))</f>
        <v>0</v>
      </c>
      <c r="I43" s="50" t="s">
        <v>77</v>
      </c>
      <c r="J43" s="52"/>
      <c r="K43" s="49" t="n">
        <f aca="false">IF(F43="","",YEAR(F43))</f>
        <v>2026</v>
      </c>
      <c r="L43" s="49" t="n">
        <f aca="false">IF(F43="","",MONTH(F43))</f>
        <v>7</v>
      </c>
    </row>
    <row r="44" customFormat="false" ht="15" hidden="false" customHeight="false" outlineLevel="0" collapsed="false">
      <c r="A44" s="49" t="n">
        <f aca="false">IF(B44="","",ROW()-5)</f>
        <v>39</v>
      </c>
      <c r="B44" s="50" t="s">
        <v>81</v>
      </c>
      <c r="C44" s="51" t="str">
        <f aca="false">IFERROR(INDEX(Personel!$B:$B,MATCH(B44,Personel!$A:$A,0)),"")</f>
        <v>Volkan Ergin</v>
      </c>
      <c r="D44" s="51" t="str">
        <f aca="false">IFERROR(INDEX(Personel!$C:$C,MATCH(B44,Personel!$A:$A,0)),"")</f>
        <v>Enjeksiyon</v>
      </c>
      <c r="E44" s="52" t="s">
        <v>79</v>
      </c>
      <c r="F44" s="53" t="n">
        <v>46224</v>
      </c>
      <c r="G44" s="53" t="n">
        <v>46225</v>
      </c>
      <c r="H44" s="54" t="n">
        <f aca="false">IF(OR(F44="",G44=""),"",G44-F44+1-INT((G44-F44+WEEKDAY(F44,2))/7))</f>
        <v>2</v>
      </c>
      <c r="I44" s="50" t="s">
        <v>77</v>
      </c>
      <c r="J44" s="52"/>
      <c r="K44" s="49" t="n">
        <f aca="false">IF(F44="","",YEAR(F44))</f>
        <v>2026</v>
      </c>
      <c r="L44" s="49" t="n">
        <f aca="false">IF(F44="","",MONTH(F44))</f>
        <v>7</v>
      </c>
    </row>
    <row r="45" customFormat="false" ht="15" hidden="false" customHeight="false" outlineLevel="0" collapsed="false">
      <c r="A45" s="49" t="n">
        <f aca="false">IF(B45="","",ROW()-5)</f>
        <v>40</v>
      </c>
      <c r="B45" s="50" t="s">
        <v>78</v>
      </c>
      <c r="C45" s="51" t="str">
        <f aca="false">IFERROR(INDEX(Personel!$B:$B,MATCH(B45,Personel!$A:$A,0)),"")</f>
        <v>Barış Kılıç</v>
      </c>
      <c r="D45" s="51" t="str">
        <f aca="false">IFERROR(INDEX(Personel!$C:$C,MATCH(B45,Personel!$A:$A,0)),"")</f>
        <v>Montaj</v>
      </c>
      <c r="E45" s="52" t="s">
        <v>79</v>
      </c>
      <c r="F45" s="53" t="n">
        <v>46225</v>
      </c>
      <c r="G45" s="53" t="n">
        <v>46229</v>
      </c>
      <c r="H45" s="54" t="n">
        <f aca="false">IF(OR(F45="",G45=""),"",G45-F45+1-INT((G45-F45+WEEKDAY(F45,2))/7))</f>
        <v>4</v>
      </c>
      <c r="I45" s="50" t="s">
        <v>77</v>
      </c>
      <c r="J45" s="52"/>
      <c r="K45" s="49" t="n">
        <f aca="false">IF(F45="","",YEAR(F45))</f>
        <v>2026</v>
      </c>
      <c r="L45" s="49" t="n">
        <f aca="false">IF(F45="","",MONTH(F45))</f>
        <v>7</v>
      </c>
    </row>
    <row r="46" customFormat="false" ht="15" hidden="false" customHeight="false" outlineLevel="0" collapsed="false">
      <c r="A46" s="49" t="n">
        <f aca="false">IF(B46="","",ROW()-5)</f>
        <v>41</v>
      </c>
      <c r="B46" s="50" t="s">
        <v>99</v>
      </c>
      <c r="C46" s="51" t="str">
        <f aca="false">IFERROR(INDEX(Personel!$B:$B,MATCH(B46,Personel!$A:$A,0)),"")</f>
        <v>Kerem Uçar</v>
      </c>
      <c r="D46" s="51" t="str">
        <f aca="false">IFERROR(INDEX(Personel!$C:$C,MATCH(B46,Personel!$A:$A,0)),"")</f>
        <v>Kalite</v>
      </c>
      <c r="E46" s="52" t="s">
        <v>76</v>
      </c>
      <c r="F46" s="53" t="n">
        <v>46227</v>
      </c>
      <c r="G46" s="53" t="n">
        <v>46228</v>
      </c>
      <c r="H46" s="54" t="n">
        <f aca="false">IF(OR(F46="",G46=""),"",G46-F46+1-INT((G46-F46+WEEKDAY(F46,2))/7))</f>
        <v>2</v>
      </c>
      <c r="I46" s="50" t="s">
        <v>77</v>
      </c>
      <c r="J46" s="52"/>
      <c r="K46" s="49" t="n">
        <f aca="false">IF(F46="","",YEAR(F46))</f>
        <v>2026</v>
      </c>
      <c r="L46" s="49" t="n">
        <f aca="false">IF(F46="","",MONTH(F46))</f>
        <v>7</v>
      </c>
    </row>
    <row r="47" customFormat="false" ht="15" hidden="false" customHeight="false" outlineLevel="0" collapsed="false">
      <c r="A47" s="49" t="n">
        <f aca="false">IF(B47="","",ROW()-5)</f>
        <v>42</v>
      </c>
      <c r="B47" s="50" t="s">
        <v>85</v>
      </c>
      <c r="C47" s="51" t="str">
        <f aca="false">IFERROR(INDEX(Personel!$B:$B,MATCH(B47,Personel!$A:$A,0)),"")</f>
        <v>Can Aydın</v>
      </c>
      <c r="D47" s="51" t="str">
        <f aca="false">IFERROR(INDEX(Personel!$C:$C,MATCH(B47,Personel!$A:$A,0)),"")</f>
        <v>Kalite</v>
      </c>
      <c r="E47" s="52" t="s">
        <v>79</v>
      </c>
      <c r="F47" s="53" t="n">
        <v>46236</v>
      </c>
      <c r="G47" s="53" t="n">
        <v>46238</v>
      </c>
      <c r="H47" s="54" t="n">
        <f aca="false">IF(OR(F47="",G47=""),"",G47-F47+1-INT((G47-F47+WEEKDAY(F47,2))/7))</f>
        <v>2</v>
      </c>
      <c r="I47" s="50" t="s">
        <v>77</v>
      </c>
      <c r="J47" s="52"/>
      <c r="K47" s="49" t="n">
        <f aca="false">IF(F47="","",YEAR(F47))</f>
        <v>2026</v>
      </c>
      <c r="L47" s="49" t="n">
        <f aca="false">IF(F47="","",MONTH(F47))</f>
        <v>8</v>
      </c>
    </row>
    <row r="48" customFormat="false" ht="15" hidden="false" customHeight="false" outlineLevel="0" collapsed="false">
      <c r="A48" s="49" t="n">
        <f aca="false">IF(B48="","",ROW()-5)</f>
        <v>43</v>
      </c>
      <c r="B48" s="50" t="s">
        <v>91</v>
      </c>
      <c r="C48" s="51" t="str">
        <f aca="false">IFERROR(INDEX(Personel!$B:$B,MATCH(B48,Personel!$A:$A,0)),"")</f>
        <v>Onur Bozkurt</v>
      </c>
      <c r="D48" s="51" t="str">
        <f aca="false">IFERROR(INDEX(Personel!$C:$C,MATCH(B48,Personel!$A:$A,0)),"")</f>
        <v>Montaj</v>
      </c>
      <c r="E48" s="52" t="s">
        <v>79</v>
      </c>
      <c r="F48" s="53" t="n">
        <v>46243</v>
      </c>
      <c r="G48" s="53" t="n">
        <v>46247</v>
      </c>
      <c r="H48" s="54" t="n">
        <f aca="false">IF(OR(F48="",G48=""),"",G48-F48+1-INT((G48-F48+WEEKDAY(F48,2))/7))</f>
        <v>4</v>
      </c>
      <c r="I48" s="50" t="s">
        <v>77</v>
      </c>
      <c r="J48" s="52"/>
      <c r="K48" s="49" t="n">
        <f aca="false">IF(F48="","",YEAR(F48))</f>
        <v>2026</v>
      </c>
      <c r="L48" s="49" t="n">
        <f aca="false">IF(F48="","",MONTH(F48))</f>
        <v>8</v>
      </c>
    </row>
    <row r="49" customFormat="false" ht="15" hidden="false" customHeight="false" outlineLevel="0" collapsed="false">
      <c r="A49" s="49" t="n">
        <f aca="false">IF(B49="","",ROW()-5)</f>
        <v>44</v>
      </c>
      <c r="B49" s="50" t="s">
        <v>87</v>
      </c>
      <c r="C49" s="51" t="str">
        <f aca="false">IFERROR(INDEX(Personel!$B:$B,MATCH(B49,Personel!$A:$A,0)),"")</f>
        <v>Gamze Polat</v>
      </c>
      <c r="D49" s="51" t="str">
        <f aca="false">IFERROR(INDEX(Personel!$C:$C,MATCH(B49,Personel!$A:$A,0)),"")</f>
        <v>Planlama</v>
      </c>
      <c r="E49" s="52" t="s">
        <v>79</v>
      </c>
      <c r="F49" s="53" t="n">
        <v>46243</v>
      </c>
      <c r="G49" s="53" t="n">
        <v>46244</v>
      </c>
      <c r="H49" s="54" t="n">
        <f aca="false">IF(OR(F49="",G49=""),"",G49-F49+1-INT((G49-F49+WEEKDAY(F49,2))/7))</f>
        <v>1</v>
      </c>
      <c r="I49" s="50" t="s">
        <v>77</v>
      </c>
      <c r="J49" s="52"/>
      <c r="K49" s="49" t="n">
        <f aca="false">IF(F49="","",YEAR(F49))</f>
        <v>2026</v>
      </c>
      <c r="L49" s="49" t="n">
        <f aca="false">IF(F49="","",MONTH(F49))</f>
        <v>8</v>
      </c>
    </row>
    <row r="50" customFormat="false" ht="15" hidden="false" customHeight="false" outlineLevel="0" collapsed="false">
      <c r="A50" s="49" t="n">
        <f aca="false">IF(B50="","",ROW()-5)</f>
        <v>45</v>
      </c>
      <c r="B50" s="50" t="s">
        <v>92</v>
      </c>
      <c r="C50" s="51" t="str">
        <f aca="false">IFERROR(INDEX(Personel!$B:$B,MATCH(B50,Personel!$A:$A,0)),"")</f>
        <v>Zeynep Arslan</v>
      </c>
      <c r="D50" s="51" t="str">
        <f aca="false">IFERROR(INDEX(Personel!$C:$C,MATCH(B50,Personel!$A:$A,0)),"")</f>
        <v>Montaj</v>
      </c>
      <c r="E50" s="52" t="s">
        <v>90</v>
      </c>
      <c r="F50" s="53" t="n">
        <v>46248</v>
      </c>
      <c r="G50" s="53" t="n">
        <v>46249</v>
      </c>
      <c r="H50" s="54" t="n">
        <f aca="false">IF(OR(F50="",G50=""),"",G50-F50+1-INT((G50-F50+WEEKDAY(F50,2))/7))</f>
        <v>2</v>
      </c>
      <c r="I50" s="50" t="s">
        <v>77</v>
      </c>
      <c r="J50" s="52"/>
      <c r="K50" s="49" t="n">
        <f aca="false">IF(F50="","",YEAR(F50))</f>
        <v>2026</v>
      </c>
      <c r="L50" s="49" t="n">
        <f aca="false">IF(F50="","",MONTH(F50))</f>
        <v>8</v>
      </c>
    </row>
    <row r="51" customFormat="false" ht="15" hidden="false" customHeight="false" outlineLevel="0" collapsed="false">
      <c r="A51" s="49" t="n">
        <f aca="false">IF(B51="","",ROW()-5)</f>
        <v>46</v>
      </c>
      <c r="B51" s="50" t="s">
        <v>80</v>
      </c>
      <c r="C51" s="51" t="str">
        <f aca="false">IFERROR(INDEX(Personel!$B:$B,MATCH(B51,Personel!$A:$A,0)),"")</f>
        <v>Nur Aksoy</v>
      </c>
      <c r="D51" s="51" t="str">
        <f aca="false">IFERROR(INDEX(Personel!$C:$C,MATCH(B51,Personel!$A:$A,0)),"")</f>
        <v>Enjeksiyon</v>
      </c>
      <c r="E51" s="52" t="s">
        <v>79</v>
      </c>
      <c r="F51" s="53" t="n">
        <v>46251</v>
      </c>
      <c r="G51" s="53" t="n">
        <v>46253</v>
      </c>
      <c r="H51" s="54" t="n">
        <f aca="false">IF(OR(F51="",G51=""),"",G51-F51+1-INT((G51-F51+WEEKDAY(F51,2))/7))</f>
        <v>3</v>
      </c>
      <c r="I51" s="50" t="s">
        <v>77</v>
      </c>
      <c r="J51" s="52"/>
      <c r="K51" s="49" t="n">
        <f aca="false">IF(F51="","",YEAR(F51))</f>
        <v>2026</v>
      </c>
      <c r="L51" s="49" t="n">
        <f aca="false">IF(F51="","",MONTH(F51))</f>
        <v>8</v>
      </c>
    </row>
    <row r="52" customFormat="false" ht="15" hidden="false" customHeight="false" outlineLevel="0" collapsed="false">
      <c r="A52" s="49" t="n">
        <f aca="false">IF(B52="","",ROW()-5)</f>
        <v>47</v>
      </c>
      <c r="B52" s="50" t="s">
        <v>82</v>
      </c>
      <c r="C52" s="51" t="str">
        <f aca="false">IFERROR(INDEX(Personel!$B:$B,MATCH(B52,Personel!$A:$A,0)),"")</f>
        <v>Hande Yavuz</v>
      </c>
      <c r="D52" s="51" t="str">
        <f aca="false">IFERROR(INDEX(Personel!$C:$C,MATCH(B52,Personel!$A:$A,0)),"")</f>
        <v>Montaj</v>
      </c>
      <c r="E52" s="52" t="s">
        <v>79</v>
      </c>
      <c r="F52" s="53" t="n">
        <v>46254</v>
      </c>
      <c r="G52" s="53" t="n">
        <v>46258</v>
      </c>
      <c r="H52" s="54" t="n">
        <f aca="false">IF(OR(F52="",G52=""),"",G52-F52+1-INT((G52-F52+WEEKDAY(F52,2))/7))</f>
        <v>4</v>
      </c>
      <c r="I52" s="50" t="s">
        <v>77</v>
      </c>
      <c r="J52" s="52"/>
      <c r="K52" s="49" t="n">
        <f aca="false">IF(F52="","",YEAR(F52))</f>
        <v>2026</v>
      </c>
      <c r="L52" s="49" t="n">
        <f aca="false">IF(F52="","",MONTH(F52))</f>
        <v>8</v>
      </c>
    </row>
    <row r="53" customFormat="false" ht="15" hidden="false" customHeight="false" outlineLevel="0" collapsed="false">
      <c r="A53" s="49" t="n">
        <f aca="false">IF(B53="","",ROW()-5)</f>
        <v>48</v>
      </c>
      <c r="B53" s="50" t="s">
        <v>100</v>
      </c>
      <c r="C53" s="51" t="str">
        <f aca="false">IFERROR(INDEX(Personel!$B:$B,MATCH(B53,Personel!$A:$A,0)),"")</f>
        <v>Burak Çelik</v>
      </c>
      <c r="D53" s="51" t="str">
        <f aca="false">IFERROR(INDEX(Personel!$C:$C,MATCH(B53,Personel!$A:$A,0)),"")</f>
        <v>Montaj</v>
      </c>
      <c r="E53" s="52" t="s">
        <v>90</v>
      </c>
      <c r="F53" s="53" t="n">
        <v>46255</v>
      </c>
      <c r="G53" s="53" t="n">
        <v>46256</v>
      </c>
      <c r="H53" s="54" t="n">
        <f aca="false">IF(OR(F53="",G53=""),"",G53-F53+1-INT((G53-F53+WEEKDAY(F53,2))/7))</f>
        <v>2</v>
      </c>
      <c r="I53" s="50" t="s">
        <v>77</v>
      </c>
      <c r="J53" s="52"/>
      <c r="K53" s="49" t="n">
        <f aca="false">IF(F53="","",YEAR(F53))</f>
        <v>2026</v>
      </c>
      <c r="L53" s="49" t="n">
        <f aca="false">IF(F53="","",MONTH(F53))</f>
        <v>8</v>
      </c>
    </row>
    <row r="54" customFormat="false" ht="15" hidden="false" customHeight="false" outlineLevel="0" collapsed="false">
      <c r="A54" s="49" t="n">
        <f aca="false">IF(B54="","",ROW()-5)</f>
        <v>49</v>
      </c>
      <c r="B54" s="50" t="s">
        <v>97</v>
      </c>
      <c r="C54" s="51" t="str">
        <f aca="false">IFERROR(INDEX(Personel!$B:$B,MATCH(B54,Personel!$A:$A,0)),"")</f>
        <v>Pınar Tekin</v>
      </c>
      <c r="D54" s="51" t="str">
        <f aca="false">IFERROR(INDEX(Personel!$C:$C,MATCH(B54,Personel!$A:$A,0)),"")</f>
        <v>Bakım</v>
      </c>
      <c r="E54" s="52" t="s">
        <v>79</v>
      </c>
      <c r="F54" s="53" t="n">
        <v>46255</v>
      </c>
      <c r="G54" s="53" t="n">
        <v>46260</v>
      </c>
      <c r="H54" s="54" t="n">
        <f aca="false">IF(OR(F54="",G54=""),"",G54-F54+1-INT((G54-F54+WEEKDAY(F54,2))/7))</f>
        <v>5</v>
      </c>
      <c r="I54" s="50" t="s">
        <v>77</v>
      </c>
      <c r="J54" s="52"/>
      <c r="K54" s="49" t="n">
        <f aca="false">IF(F54="","",YEAR(F54))</f>
        <v>2026</v>
      </c>
      <c r="L54" s="49" t="n">
        <f aca="false">IF(F54="","",MONTH(F54))</f>
        <v>8</v>
      </c>
    </row>
    <row r="55" customFormat="false" ht="15" hidden="false" customHeight="false" outlineLevel="0" collapsed="false">
      <c r="A55" s="49" t="n">
        <f aca="false">IF(B55="","",ROW()-5)</f>
        <v>50</v>
      </c>
      <c r="B55" s="50" t="s">
        <v>96</v>
      </c>
      <c r="C55" s="51" t="str">
        <f aca="false">IFERROR(INDEX(Personel!$B:$B,MATCH(B55,Personel!$A:$A,0)),"")</f>
        <v>Mehmet Kaya</v>
      </c>
      <c r="D55" s="51" t="str">
        <f aca="false">IFERROR(INDEX(Personel!$C:$C,MATCH(B55,Personel!$A:$A,0)),"")</f>
        <v>Enjeksiyon</v>
      </c>
      <c r="E55" s="52" t="s">
        <v>79</v>
      </c>
      <c r="F55" s="53" t="n">
        <v>46257</v>
      </c>
      <c r="G55" s="53" t="n">
        <v>46261</v>
      </c>
      <c r="H55" s="54" t="n">
        <f aca="false">IF(OR(F55="",G55=""),"",G55-F55+1-INT((G55-F55+WEEKDAY(F55,2))/7))</f>
        <v>4</v>
      </c>
      <c r="I55" s="50" t="s">
        <v>77</v>
      </c>
      <c r="J55" s="52"/>
      <c r="K55" s="49" t="n">
        <f aca="false">IF(F55="","",YEAR(F55))</f>
        <v>2026</v>
      </c>
      <c r="L55" s="49" t="n">
        <f aca="false">IF(F55="","",MONTH(F55))</f>
        <v>8</v>
      </c>
    </row>
    <row r="56" customFormat="false" ht="15" hidden="false" customHeight="false" outlineLevel="0" collapsed="false">
      <c r="A56" s="49" t="n">
        <f aca="false">IF(B56="","",ROW()-5)</f>
        <v>51</v>
      </c>
      <c r="B56" s="50" t="s">
        <v>82</v>
      </c>
      <c r="C56" s="51" t="str">
        <f aca="false">IFERROR(INDEX(Personel!$B:$B,MATCH(B56,Personel!$A:$A,0)),"")</f>
        <v>Hande Yavuz</v>
      </c>
      <c r="D56" s="51" t="str">
        <f aca="false">IFERROR(INDEX(Personel!$C:$C,MATCH(B56,Personel!$A:$A,0)),"")</f>
        <v>Montaj</v>
      </c>
      <c r="E56" s="52" t="s">
        <v>79</v>
      </c>
      <c r="F56" s="53" t="n">
        <v>46258</v>
      </c>
      <c r="G56" s="53" t="n">
        <v>46258</v>
      </c>
      <c r="H56" s="54" t="n">
        <f aca="false">IF(OR(F56="",G56=""),"",G56-F56+1-INT((G56-F56+WEEKDAY(F56,2))/7))</f>
        <v>1</v>
      </c>
      <c r="I56" s="50" t="s">
        <v>77</v>
      </c>
      <c r="J56" s="52"/>
      <c r="K56" s="49" t="n">
        <f aca="false">IF(F56="","",YEAR(F56))</f>
        <v>2026</v>
      </c>
      <c r="L56" s="49" t="n">
        <f aca="false">IF(F56="","",MONTH(F56))</f>
        <v>8</v>
      </c>
    </row>
    <row r="57" customFormat="false" ht="15" hidden="false" customHeight="false" outlineLevel="0" collapsed="false">
      <c r="A57" s="49" t="n">
        <f aca="false">IF(B57="","",ROW()-5)</f>
        <v>52</v>
      </c>
      <c r="B57" s="50" t="s">
        <v>97</v>
      </c>
      <c r="C57" s="51" t="str">
        <f aca="false">IFERROR(INDEX(Personel!$B:$B,MATCH(B57,Personel!$A:$A,0)),"")</f>
        <v>Pınar Tekin</v>
      </c>
      <c r="D57" s="51" t="str">
        <f aca="false">IFERROR(INDEX(Personel!$C:$C,MATCH(B57,Personel!$A:$A,0)),"")</f>
        <v>Bakım</v>
      </c>
      <c r="E57" s="52" t="s">
        <v>79</v>
      </c>
      <c r="F57" s="53" t="n">
        <v>46266</v>
      </c>
      <c r="G57" s="53" t="n">
        <v>46271</v>
      </c>
      <c r="H57" s="54" t="n">
        <f aca="false">IF(OR(F57="",G57=""),"",G57-F57+1-INT((G57-F57+WEEKDAY(F57,2))/7))</f>
        <v>5</v>
      </c>
      <c r="I57" s="50" t="s">
        <v>77</v>
      </c>
      <c r="J57" s="52"/>
      <c r="K57" s="49" t="n">
        <f aca="false">IF(F57="","",YEAR(F57))</f>
        <v>2026</v>
      </c>
      <c r="L57" s="49" t="n">
        <f aca="false">IF(F57="","",MONTH(F57))</f>
        <v>9</v>
      </c>
    </row>
    <row r="58" customFormat="false" ht="15" hidden="false" customHeight="false" outlineLevel="0" collapsed="false">
      <c r="A58" s="49" t="n">
        <f aca="false">IF(B58="","",ROW()-5)</f>
        <v>53</v>
      </c>
      <c r="B58" s="50" t="s">
        <v>85</v>
      </c>
      <c r="C58" s="51" t="str">
        <f aca="false">IFERROR(INDEX(Personel!$B:$B,MATCH(B58,Personel!$A:$A,0)),"")</f>
        <v>Can Aydın</v>
      </c>
      <c r="D58" s="51" t="str">
        <f aca="false">IFERROR(INDEX(Personel!$C:$C,MATCH(B58,Personel!$A:$A,0)),"")</f>
        <v>Kalite</v>
      </c>
      <c r="E58" s="52" t="s">
        <v>76</v>
      </c>
      <c r="F58" s="53" t="n">
        <v>46284</v>
      </c>
      <c r="G58" s="53" t="n">
        <v>46285</v>
      </c>
      <c r="H58" s="54" t="n">
        <f aca="false">IF(OR(F58="",G58=""),"",G58-F58+1-INT((G58-F58+WEEKDAY(F58,2))/7))</f>
        <v>1</v>
      </c>
      <c r="I58" s="50" t="s">
        <v>77</v>
      </c>
      <c r="J58" s="52"/>
      <c r="K58" s="49" t="n">
        <f aca="false">IF(F58="","",YEAR(F58))</f>
        <v>2026</v>
      </c>
      <c r="L58" s="49" t="n">
        <f aca="false">IF(F58="","",MONTH(F58))</f>
        <v>9</v>
      </c>
    </row>
    <row r="59" customFormat="false" ht="15" hidden="false" customHeight="false" outlineLevel="0" collapsed="false">
      <c r="A59" s="49" t="n">
        <f aca="false">IF(B59="","",ROW()-5)</f>
        <v>54</v>
      </c>
      <c r="B59" s="50" t="s">
        <v>75</v>
      </c>
      <c r="C59" s="51" t="str">
        <f aca="false">IFERROR(INDEX(Personel!$B:$B,MATCH(B59,Personel!$A:$A,0)),"")</f>
        <v>Selin Öztürk</v>
      </c>
      <c r="D59" s="51" t="str">
        <f aca="false">IFERROR(INDEX(Personel!$C:$C,MATCH(B59,Personel!$A:$A,0)),"")</f>
        <v>Kalite</v>
      </c>
      <c r="E59" s="52" t="s">
        <v>76</v>
      </c>
      <c r="F59" s="53" t="n">
        <v>46289</v>
      </c>
      <c r="G59" s="53" t="n">
        <v>46290</v>
      </c>
      <c r="H59" s="54" t="n">
        <f aca="false">IF(OR(F59="",G59=""),"",G59-F59+1-INT((G59-F59+WEEKDAY(F59,2))/7))</f>
        <v>2</v>
      </c>
      <c r="I59" s="50" t="s">
        <v>77</v>
      </c>
      <c r="J59" s="52"/>
      <c r="K59" s="49" t="n">
        <f aca="false">IF(F59="","",YEAR(F59))</f>
        <v>2026</v>
      </c>
      <c r="L59" s="49" t="n">
        <f aca="false">IF(F59="","",MONTH(F59))</f>
        <v>9</v>
      </c>
    </row>
    <row r="60" customFormat="false" ht="15" hidden="false" customHeight="false" outlineLevel="0" collapsed="false">
      <c r="A60" s="49" t="n">
        <f aca="false">IF(B60="","",ROW()-5)</f>
        <v>55</v>
      </c>
      <c r="B60" s="50" t="s">
        <v>93</v>
      </c>
      <c r="C60" s="51" t="str">
        <f aca="false">IFERROR(INDEX(Personel!$B:$B,MATCH(B60,Personel!$A:$A,0)),"")</f>
        <v>Merve Koç</v>
      </c>
      <c r="D60" s="51" t="str">
        <f aca="false">IFERROR(INDEX(Personel!$C:$C,MATCH(B60,Personel!$A:$A,0)),"")</f>
        <v>Montaj</v>
      </c>
      <c r="E60" s="52" t="s">
        <v>79</v>
      </c>
      <c r="F60" s="53" t="n">
        <v>46307</v>
      </c>
      <c r="G60" s="53" t="n">
        <v>46308</v>
      </c>
      <c r="H60" s="54" t="n">
        <f aca="false">IF(OR(F60="",G60=""),"",G60-F60+1-INT((G60-F60+WEEKDAY(F60,2))/7))</f>
        <v>2</v>
      </c>
      <c r="I60" s="50" t="s">
        <v>77</v>
      </c>
      <c r="J60" s="52"/>
      <c r="K60" s="49" t="n">
        <f aca="false">IF(F60="","",YEAR(F60))</f>
        <v>2026</v>
      </c>
      <c r="L60" s="49" t="n">
        <f aca="false">IF(F60="","",MONTH(F60))</f>
        <v>10</v>
      </c>
    </row>
    <row r="61" customFormat="false" ht="15" hidden="false" customHeight="false" outlineLevel="0" collapsed="false">
      <c r="A61" s="49" t="n">
        <f aca="false">IF(B61="","",ROW()-5)</f>
        <v>56</v>
      </c>
      <c r="B61" s="50" t="s">
        <v>84</v>
      </c>
      <c r="C61" s="51" t="str">
        <f aca="false">IFERROR(INDEX(Personel!$B:$B,MATCH(B61,Personel!$A:$A,0)),"")</f>
        <v>Ayşe Demir</v>
      </c>
      <c r="D61" s="51" t="str">
        <f aca="false">IFERROR(INDEX(Personel!$C:$C,MATCH(B61,Personel!$A:$A,0)),"")</f>
        <v>Enjeksiyon</v>
      </c>
      <c r="E61" s="52" t="s">
        <v>79</v>
      </c>
      <c r="F61" s="53" t="n">
        <v>46308</v>
      </c>
      <c r="G61" s="53" t="n">
        <v>46309</v>
      </c>
      <c r="H61" s="54" t="n">
        <f aca="false">IF(OR(F61="",G61=""),"",G61-F61+1-INT((G61-F61+WEEKDAY(F61,2))/7))</f>
        <v>2</v>
      </c>
      <c r="I61" s="50" t="s">
        <v>77</v>
      </c>
      <c r="J61" s="52"/>
      <c r="K61" s="49" t="n">
        <f aca="false">IF(F61="","",YEAR(F61))</f>
        <v>2026</v>
      </c>
      <c r="L61" s="49" t="n">
        <f aca="false">IF(F61="","",MONTH(F61))</f>
        <v>10</v>
      </c>
    </row>
    <row r="62" customFormat="false" ht="15" hidden="false" customHeight="false" outlineLevel="0" collapsed="false">
      <c r="A62" s="49" t="n">
        <f aca="false">IF(B62="","",ROW()-5)</f>
        <v>57</v>
      </c>
      <c r="B62" s="50" t="s">
        <v>92</v>
      </c>
      <c r="C62" s="51" t="str">
        <f aca="false">IFERROR(INDEX(Personel!$B:$B,MATCH(B62,Personel!$A:$A,0)),"")</f>
        <v>Zeynep Arslan</v>
      </c>
      <c r="D62" s="51" t="str">
        <f aca="false">IFERROR(INDEX(Personel!$C:$C,MATCH(B62,Personel!$A:$A,0)),"")</f>
        <v>Montaj</v>
      </c>
      <c r="E62" s="52" t="s">
        <v>76</v>
      </c>
      <c r="F62" s="53" t="n">
        <v>46309</v>
      </c>
      <c r="G62" s="53" t="n">
        <v>46311</v>
      </c>
      <c r="H62" s="54" t="n">
        <f aca="false">IF(OR(F62="",G62=""),"",G62-F62+1-INT((G62-F62+WEEKDAY(F62,2))/7))</f>
        <v>3</v>
      </c>
      <c r="I62" s="50" t="s">
        <v>77</v>
      </c>
      <c r="J62" s="52"/>
      <c r="K62" s="49" t="n">
        <f aca="false">IF(F62="","",YEAR(F62))</f>
        <v>2026</v>
      </c>
      <c r="L62" s="49" t="n">
        <f aca="false">IF(F62="","",MONTH(F62))</f>
        <v>10</v>
      </c>
    </row>
    <row r="63" customFormat="false" ht="15" hidden="false" customHeight="false" outlineLevel="0" collapsed="false">
      <c r="A63" s="49" t="n">
        <f aca="false">IF(B63="","",ROW()-5)</f>
        <v>58</v>
      </c>
      <c r="B63" s="50" t="s">
        <v>81</v>
      </c>
      <c r="C63" s="51" t="str">
        <f aca="false">IFERROR(INDEX(Personel!$B:$B,MATCH(B63,Personel!$A:$A,0)),"")</f>
        <v>Volkan Ergin</v>
      </c>
      <c r="D63" s="51" t="str">
        <f aca="false">IFERROR(INDEX(Personel!$C:$C,MATCH(B63,Personel!$A:$A,0)),"")</f>
        <v>Enjeksiyon</v>
      </c>
      <c r="E63" s="52" t="s">
        <v>76</v>
      </c>
      <c r="F63" s="53" t="n">
        <v>46311</v>
      </c>
      <c r="G63" s="53" t="n">
        <v>46313</v>
      </c>
      <c r="H63" s="54" t="n">
        <f aca="false">IF(OR(F63="",G63=""),"",G63-F63+1-INT((G63-F63+WEEKDAY(F63,2))/7))</f>
        <v>2</v>
      </c>
      <c r="I63" s="50" t="s">
        <v>77</v>
      </c>
      <c r="J63" s="52"/>
      <c r="K63" s="49" t="n">
        <f aca="false">IF(F63="","",YEAR(F63))</f>
        <v>2026</v>
      </c>
      <c r="L63" s="49" t="n">
        <f aca="false">IF(F63="","",MONTH(F63))</f>
        <v>10</v>
      </c>
    </row>
    <row r="64" customFormat="false" ht="15" hidden="false" customHeight="false" outlineLevel="0" collapsed="false">
      <c r="A64" s="49" t="n">
        <f aca="false">IF(B64="","",ROW()-5)</f>
        <v>59</v>
      </c>
      <c r="B64" s="50" t="s">
        <v>100</v>
      </c>
      <c r="C64" s="51" t="str">
        <f aca="false">IFERROR(INDEX(Personel!$B:$B,MATCH(B64,Personel!$A:$A,0)),"")</f>
        <v>Burak Çelik</v>
      </c>
      <c r="D64" s="51" t="str">
        <f aca="false">IFERROR(INDEX(Personel!$C:$C,MATCH(B64,Personel!$A:$A,0)),"")</f>
        <v>Montaj</v>
      </c>
      <c r="E64" s="52" t="s">
        <v>79</v>
      </c>
      <c r="F64" s="53" t="n">
        <v>46322</v>
      </c>
      <c r="G64" s="53" t="n">
        <v>46326</v>
      </c>
      <c r="H64" s="54" t="n">
        <f aca="false">IF(OR(F64="",G64=""),"",G64-F64+1-INT((G64-F64+WEEKDAY(F64,2))/7))</f>
        <v>5</v>
      </c>
      <c r="I64" s="50" t="s">
        <v>77</v>
      </c>
      <c r="J64" s="52"/>
      <c r="K64" s="49" t="n">
        <f aca="false">IF(F64="","",YEAR(F64))</f>
        <v>2026</v>
      </c>
      <c r="L64" s="49" t="n">
        <f aca="false">IF(F64="","",MONTH(F64))</f>
        <v>10</v>
      </c>
    </row>
    <row r="65" customFormat="false" ht="15" hidden="false" customHeight="false" outlineLevel="0" collapsed="false">
      <c r="A65" s="49" t="n">
        <f aca="false">IF(B65="","",ROW()-5)</f>
        <v>60</v>
      </c>
      <c r="B65" s="50" t="s">
        <v>101</v>
      </c>
      <c r="C65" s="51" t="str">
        <f aca="false">IFERROR(INDEX(Personel!$B:$B,MATCH(B65,Personel!$A:$A,0)),"")</f>
        <v>Okan Yılmaz</v>
      </c>
      <c r="D65" s="51" t="str">
        <f aca="false">IFERROR(INDEX(Personel!$C:$C,MATCH(B65,Personel!$A:$A,0)),"")</f>
        <v>Depo</v>
      </c>
      <c r="E65" s="52" t="s">
        <v>76</v>
      </c>
      <c r="F65" s="53" t="n">
        <v>46323</v>
      </c>
      <c r="G65" s="53" t="n">
        <v>46324</v>
      </c>
      <c r="H65" s="54" t="n">
        <f aca="false">IF(OR(F65="",G65=""),"",G65-F65+1-INT((G65-F65+WEEKDAY(F65,2))/7))</f>
        <v>2</v>
      </c>
      <c r="I65" s="50" t="s">
        <v>77</v>
      </c>
      <c r="J65" s="52"/>
      <c r="K65" s="49" t="n">
        <f aca="false">IF(F65="","",YEAR(F65))</f>
        <v>2026</v>
      </c>
      <c r="L65" s="49" t="n">
        <f aca="false">IF(F65="","",MONTH(F65))</f>
        <v>10</v>
      </c>
    </row>
    <row r="66" customFormat="false" ht="15" hidden="false" customHeight="false" outlineLevel="0" collapsed="false">
      <c r="A66" s="49" t="n">
        <f aca="false">IF(B66="","",ROW()-5)</f>
        <v>61</v>
      </c>
      <c r="B66" s="50" t="s">
        <v>85</v>
      </c>
      <c r="C66" s="51" t="str">
        <f aca="false">IFERROR(INDEX(Personel!$B:$B,MATCH(B66,Personel!$A:$A,0)),"")</f>
        <v>Can Aydın</v>
      </c>
      <c r="D66" s="51" t="str">
        <f aca="false">IFERROR(INDEX(Personel!$C:$C,MATCH(B66,Personel!$A:$A,0)),"")</f>
        <v>Kalite</v>
      </c>
      <c r="E66" s="52" t="s">
        <v>79</v>
      </c>
      <c r="F66" s="53" t="n">
        <v>46328</v>
      </c>
      <c r="G66" s="53" t="n">
        <v>46332</v>
      </c>
      <c r="H66" s="54" t="n">
        <f aca="false">IF(OR(F66="",G66=""),"",G66-F66+1-INT((G66-F66+WEEKDAY(F66,2))/7))</f>
        <v>5</v>
      </c>
      <c r="I66" s="50" t="s">
        <v>102</v>
      </c>
      <c r="J66" s="52"/>
      <c r="K66" s="49" t="n">
        <f aca="false">IF(F66="","",YEAR(F66))</f>
        <v>2026</v>
      </c>
      <c r="L66" s="49" t="n">
        <f aca="false">IF(F66="","",MONTH(F66))</f>
        <v>11</v>
      </c>
    </row>
    <row r="67" customFormat="false" ht="15" hidden="false" customHeight="false" outlineLevel="0" collapsed="false">
      <c r="A67" s="49" t="str">
        <f aca="false">IF(B67="","",ROW()-5)</f>
        <v/>
      </c>
      <c r="B67" s="50"/>
      <c r="C67" s="51" t="str">
        <f aca="false">IFERROR(INDEX(Personel!$B:$B,MATCH(B67,Personel!$A:$A,0)),"")</f>
        <v/>
      </c>
      <c r="D67" s="51" t="str">
        <f aca="false">IFERROR(INDEX(Personel!$C:$C,MATCH(B67,Personel!$A:$A,0)),"")</f>
        <v/>
      </c>
      <c r="E67" s="52"/>
      <c r="F67" s="53"/>
      <c r="G67" s="53"/>
      <c r="H67" s="54" t="str">
        <f aca="false">IF(OR(F67="",G67=""),"",G67-F67+1-INT((G67-F67+WEEKDAY(F67,2))/7))</f>
        <v/>
      </c>
      <c r="I67" s="50"/>
      <c r="J67" s="52"/>
      <c r="K67" s="49" t="str">
        <f aca="false">IF(F67="","",YEAR(F67))</f>
        <v/>
      </c>
      <c r="L67" s="49" t="str">
        <f aca="false">IF(F67="","",MONTH(F67))</f>
        <v/>
      </c>
    </row>
    <row r="68" customFormat="false" ht="15" hidden="false" customHeight="false" outlineLevel="0" collapsed="false">
      <c r="A68" s="49" t="str">
        <f aca="false">IF(B68="","",ROW()-5)</f>
        <v/>
      </c>
      <c r="B68" s="50"/>
      <c r="C68" s="51" t="str">
        <f aca="false">IFERROR(INDEX(Personel!$B:$B,MATCH(B68,Personel!$A:$A,0)),"")</f>
        <v/>
      </c>
      <c r="D68" s="51" t="str">
        <f aca="false">IFERROR(INDEX(Personel!$C:$C,MATCH(B68,Personel!$A:$A,0)),"")</f>
        <v/>
      </c>
      <c r="E68" s="52"/>
      <c r="F68" s="53"/>
      <c r="G68" s="53"/>
      <c r="H68" s="54" t="str">
        <f aca="false">IF(OR(F68="",G68=""),"",G68-F68+1-INT((G68-F68+WEEKDAY(F68,2))/7))</f>
        <v/>
      </c>
      <c r="I68" s="50"/>
      <c r="J68" s="52"/>
      <c r="K68" s="49" t="str">
        <f aca="false">IF(F68="","",YEAR(F68))</f>
        <v/>
      </c>
      <c r="L68" s="49" t="str">
        <f aca="false">IF(F68="","",MONTH(F68))</f>
        <v/>
      </c>
    </row>
    <row r="69" customFormat="false" ht="15" hidden="false" customHeight="false" outlineLevel="0" collapsed="false">
      <c r="A69" s="49" t="str">
        <f aca="false">IF(B69="","",ROW()-5)</f>
        <v/>
      </c>
      <c r="B69" s="50"/>
      <c r="C69" s="51" t="str">
        <f aca="false">IFERROR(INDEX(Personel!$B:$B,MATCH(B69,Personel!$A:$A,0)),"")</f>
        <v/>
      </c>
      <c r="D69" s="51" t="str">
        <f aca="false">IFERROR(INDEX(Personel!$C:$C,MATCH(B69,Personel!$A:$A,0)),"")</f>
        <v/>
      </c>
      <c r="E69" s="52"/>
      <c r="F69" s="53"/>
      <c r="G69" s="53"/>
      <c r="H69" s="54" t="str">
        <f aca="false">IF(OR(F69="",G69=""),"",G69-F69+1-INT((G69-F69+WEEKDAY(F69,2))/7))</f>
        <v/>
      </c>
      <c r="I69" s="50"/>
      <c r="J69" s="52"/>
      <c r="K69" s="49" t="str">
        <f aca="false">IF(F69="","",YEAR(F69))</f>
        <v/>
      </c>
      <c r="L69" s="49" t="str">
        <f aca="false">IF(F69="","",MONTH(F69))</f>
        <v/>
      </c>
    </row>
    <row r="70" customFormat="false" ht="15" hidden="false" customHeight="false" outlineLevel="0" collapsed="false">
      <c r="A70" s="49" t="str">
        <f aca="false">IF(B70="","",ROW()-5)</f>
        <v/>
      </c>
      <c r="B70" s="50"/>
      <c r="C70" s="51" t="str">
        <f aca="false">IFERROR(INDEX(Personel!$B:$B,MATCH(B70,Personel!$A:$A,0)),"")</f>
        <v/>
      </c>
      <c r="D70" s="51" t="str">
        <f aca="false">IFERROR(INDEX(Personel!$C:$C,MATCH(B70,Personel!$A:$A,0)),"")</f>
        <v/>
      </c>
      <c r="E70" s="52"/>
      <c r="F70" s="53"/>
      <c r="G70" s="53"/>
      <c r="H70" s="54" t="str">
        <f aca="false">IF(OR(F70="",G70=""),"",G70-F70+1-INT((G70-F70+WEEKDAY(F70,2))/7))</f>
        <v/>
      </c>
      <c r="I70" s="50"/>
      <c r="J70" s="52"/>
      <c r="K70" s="49" t="str">
        <f aca="false">IF(F70="","",YEAR(F70))</f>
        <v/>
      </c>
      <c r="L70" s="49" t="str">
        <f aca="false">IF(F70="","",MONTH(F70))</f>
        <v/>
      </c>
    </row>
    <row r="71" customFormat="false" ht="15" hidden="false" customHeight="false" outlineLevel="0" collapsed="false">
      <c r="A71" s="49" t="str">
        <f aca="false">IF(B71="","",ROW()-5)</f>
        <v/>
      </c>
      <c r="B71" s="50"/>
      <c r="C71" s="51" t="str">
        <f aca="false">IFERROR(INDEX(Personel!$B:$B,MATCH(B71,Personel!$A:$A,0)),"")</f>
        <v/>
      </c>
      <c r="D71" s="51" t="str">
        <f aca="false">IFERROR(INDEX(Personel!$C:$C,MATCH(B71,Personel!$A:$A,0)),"")</f>
        <v/>
      </c>
      <c r="E71" s="52"/>
      <c r="F71" s="53"/>
      <c r="G71" s="53"/>
      <c r="H71" s="54" t="str">
        <f aca="false">IF(OR(F71="",G71=""),"",G71-F71+1-INT((G71-F71+WEEKDAY(F71,2))/7))</f>
        <v/>
      </c>
      <c r="I71" s="50"/>
      <c r="J71" s="52"/>
      <c r="K71" s="49" t="str">
        <f aca="false">IF(F71="","",YEAR(F71))</f>
        <v/>
      </c>
      <c r="L71" s="49" t="str">
        <f aca="false">IF(F71="","",MONTH(F71))</f>
        <v/>
      </c>
    </row>
    <row r="72" customFormat="false" ht="15" hidden="false" customHeight="false" outlineLevel="0" collapsed="false">
      <c r="A72" s="49" t="str">
        <f aca="false">IF(B72="","",ROW()-5)</f>
        <v/>
      </c>
      <c r="B72" s="50"/>
      <c r="C72" s="51" t="str">
        <f aca="false">IFERROR(INDEX(Personel!$B:$B,MATCH(B72,Personel!$A:$A,0)),"")</f>
        <v/>
      </c>
      <c r="D72" s="51" t="str">
        <f aca="false">IFERROR(INDEX(Personel!$C:$C,MATCH(B72,Personel!$A:$A,0)),"")</f>
        <v/>
      </c>
      <c r="E72" s="52"/>
      <c r="F72" s="53"/>
      <c r="G72" s="53"/>
      <c r="H72" s="54" t="str">
        <f aca="false">IF(OR(F72="",G72=""),"",G72-F72+1-INT((G72-F72+WEEKDAY(F72,2))/7))</f>
        <v/>
      </c>
      <c r="I72" s="50"/>
      <c r="J72" s="52"/>
      <c r="K72" s="49" t="str">
        <f aca="false">IF(F72="","",YEAR(F72))</f>
        <v/>
      </c>
      <c r="L72" s="49" t="str">
        <f aca="false">IF(F72="","",MONTH(F72))</f>
        <v/>
      </c>
    </row>
    <row r="73" customFormat="false" ht="15" hidden="false" customHeight="false" outlineLevel="0" collapsed="false">
      <c r="A73" s="49" t="str">
        <f aca="false">IF(B73="","",ROW()-5)</f>
        <v/>
      </c>
      <c r="B73" s="50"/>
      <c r="C73" s="51" t="str">
        <f aca="false">IFERROR(INDEX(Personel!$B:$B,MATCH(B73,Personel!$A:$A,0)),"")</f>
        <v/>
      </c>
      <c r="D73" s="51" t="str">
        <f aca="false">IFERROR(INDEX(Personel!$C:$C,MATCH(B73,Personel!$A:$A,0)),"")</f>
        <v/>
      </c>
      <c r="E73" s="52"/>
      <c r="F73" s="53"/>
      <c r="G73" s="53"/>
      <c r="H73" s="54" t="str">
        <f aca="false">IF(OR(F73="",G73=""),"",G73-F73+1-INT((G73-F73+WEEKDAY(F73,2))/7))</f>
        <v/>
      </c>
      <c r="I73" s="50"/>
      <c r="J73" s="52"/>
      <c r="K73" s="49" t="str">
        <f aca="false">IF(F73="","",YEAR(F73))</f>
        <v/>
      </c>
      <c r="L73" s="49" t="str">
        <f aca="false">IF(F73="","",MONTH(F73))</f>
        <v/>
      </c>
    </row>
    <row r="74" customFormat="false" ht="15" hidden="false" customHeight="false" outlineLevel="0" collapsed="false">
      <c r="A74" s="49" t="str">
        <f aca="false">IF(B74="","",ROW()-5)</f>
        <v/>
      </c>
      <c r="B74" s="50"/>
      <c r="C74" s="51" t="str">
        <f aca="false">IFERROR(INDEX(Personel!$B:$B,MATCH(B74,Personel!$A:$A,0)),"")</f>
        <v/>
      </c>
      <c r="D74" s="51" t="str">
        <f aca="false">IFERROR(INDEX(Personel!$C:$C,MATCH(B74,Personel!$A:$A,0)),"")</f>
        <v/>
      </c>
      <c r="E74" s="52"/>
      <c r="F74" s="53"/>
      <c r="G74" s="53"/>
      <c r="H74" s="54" t="str">
        <f aca="false">IF(OR(F74="",G74=""),"",G74-F74+1-INT((G74-F74+WEEKDAY(F74,2))/7))</f>
        <v/>
      </c>
      <c r="I74" s="50"/>
      <c r="J74" s="52"/>
      <c r="K74" s="49" t="str">
        <f aca="false">IF(F74="","",YEAR(F74))</f>
        <v/>
      </c>
      <c r="L74" s="49" t="str">
        <f aca="false">IF(F74="","",MONTH(F74))</f>
        <v/>
      </c>
    </row>
    <row r="75" customFormat="false" ht="15" hidden="false" customHeight="false" outlineLevel="0" collapsed="false">
      <c r="A75" s="49" t="str">
        <f aca="false">IF(B75="","",ROW()-5)</f>
        <v/>
      </c>
      <c r="B75" s="50"/>
      <c r="C75" s="51" t="str">
        <f aca="false">IFERROR(INDEX(Personel!$B:$B,MATCH(B75,Personel!$A:$A,0)),"")</f>
        <v/>
      </c>
      <c r="D75" s="51" t="str">
        <f aca="false">IFERROR(INDEX(Personel!$C:$C,MATCH(B75,Personel!$A:$A,0)),"")</f>
        <v/>
      </c>
      <c r="E75" s="52"/>
      <c r="F75" s="53"/>
      <c r="G75" s="53"/>
      <c r="H75" s="54" t="str">
        <f aca="false">IF(OR(F75="",G75=""),"",G75-F75+1-INT((G75-F75+WEEKDAY(F75,2))/7))</f>
        <v/>
      </c>
      <c r="I75" s="50"/>
      <c r="J75" s="52"/>
      <c r="K75" s="49" t="str">
        <f aca="false">IF(F75="","",YEAR(F75))</f>
        <v/>
      </c>
      <c r="L75" s="49" t="str">
        <f aca="false">IF(F75="","",MONTH(F75))</f>
        <v/>
      </c>
    </row>
    <row r="76" customFormat="false" ht="15" hidden="false" customHeight="false" outlineLevel="0" collapsed="false">
      <c r="A76" s="49" t="str">
        <f aca="false">IF(B76="","",ROW()-5)</f>
        <v/>
      </c>
      <c r="B76" s="50"/>
      <c r="C76" s="51" t="str">
        <f aca="false">IFERROR(INDEX(Personel!$B:$B,MATCH(B76,Personel!$A:$A,0)),"")</f>
        <v/>
      </c>
      <c r="D76" s="51" t="str">
        <f aca="false">IFERROR(INDEX(Personel!$C:$C,MATCH(B76,Personel!$A:$A,0)),"")</f>
        <v/>
      </c>
      <c r="E76" s="52"/>
      <c r="F76" s="53"/>
      <c r="G76" s="53"/>
      <c r="H76" s="54" t="str">
        <f aca="false">IF(OR(F76="",G76=""),"",G76-F76+1-INT((G76-F76+WEEKDAY(F76,2))/7))</f>
        <v/>
      </c>
      <c r="I76" s="50"/>
      <c r="J76" s="52"/>
      <c r="K76" s="49" t="str">
        <f aca="false">IF(F76="","",YEAR(F76))</f>
        <v/>
      </c>
      <c r="L76" s="49" t="str">
        <f aca="false">IF(F76="","",MONTH(F76))</f>
        <v/>
      </c>
    </row>
    <row r="77" customFormat="false" ht="15" hidden="false" customHeight="false" outlineLevel="0" collapsed="false">
      <c r="A77" s="49" t="str">
        <f aca="false">IF(B77="","",ROW()-5)</f>
        <v/>
      </c>
      <c r="B77" s="50"/>
      <c r="C77" s="51" t="str">
        <f aca="false">IFERROR(INDEX(Personel!$B:$B,MATCH(B77,Personel!$A:$A,0)),"")</f>
        <v/>
      </c>
      <c r="D77" s="51" t="str">
        <f aca="false">IFERROR(INDEX(Personel!$C:$C,MATCH(B77,Personel!$A:$A,0)),"")</f>
        <v/>
      </c>
      <c r="E77" s="52"/>
      <c r="F77" s="53"/>
      <c r="G77" s="53"/>
      <c r="H77" s="54" t="str">
        <f aca="false">IF(OR(F77="",G77=""),"",G77-F77+1-INT((G77-F77+WEEKDAY(F77,2))/7))</f>
        <v/>
      </c>
      <c r="I77" s="50"/>
      <c r="J77" s="52"/>
      <c r="K77" s="49" t="str">
        <f aca="false">IF(F77="","",YEAR(F77))</f>
        <v/>
      </c>
      <c r="L77" s="49" t="str">
        <f aca="false">IF(F77="","",MONTH(F77))</f>
        <v/>
      </c>
    </row>
    <row r="78" customFormat="false" ht="15" hidden="false" customHeight="false" outlineLevel="0" collapsed="false">
      <c r="A78" s="49" t="str">
        <f aca="false">IF(B78="","",ROW()-5)</f>
        <v/>
      </c>
      <c r="B78" s="50"/>
      <c r="C78" s="51" t="str">
        <f aca="false">IFERROR(INDEX(Personel!$B:$B,MATCH(B78,Personel!$A:$A,0)),"")</f>
        <v/>
      </c>
      <c r="D78" s="51" t="str">
        <f aca="false">IFERROR(INDEX(Personel!$C:$C,MATCH(B78,Personel!$A:$A,0)),"")</f>
        <v/>
      </c>
      <c r="E78" s="52"/>
      <c r="F78" s="53"/>
      <c r="G78" s="53"/>
      <c r="H78" s="54" t="str">
        <f aca="false">IF(OR(F78="",G78=""),"",G78-F78+1-INT((G78-F78+WEEKDAY(F78,2))/7))</f>
        <v/>
      </c>
      <c r="I78" s="50"/>
      <c r="J78" s="52"/>
      <c r="K78" s="49" t="str">
        <f aca="false">IF(F78="","",YEAR(F78))</f>
        <v/>
      </c>
      <c r="L78" s="49" t="str">
        <f aca="false">IF(F78="","",MONTH(F78))</f>
        <v/>
      </c>
    </row>
    <row r="79" customFormat="false" ht="15" hidden="false" customHeight="false" outlineLevel="0" collapsed="false">
      <c r="A79" s="49" t="str">
        <f aca="false">IF(B79="","",ROW()-5)</f>
        <v/>
      </c>
      <c r="B79" s="50"/>
      <c r="C79" s="51" t="str">
        <f aca="false">IFERROR(INDEX(Personel!$B:$B,MATCH(B79,Personel!$A:$A,0)),"")</f>
        <v/>
      </c>
      <c r="D79" s="51" t="str">
        <f aca="false">IFERROR(INDEX(Personel!$C:$C,MATCH(B79,Personel!$A:$A,0)),"")</f>
        <v/>
      </c>
      <c r="E79" s="52"/>
      <c r="F79" s="53"/>
      <c r="G79" s="53"/>
      <c r="H79" s="54" t="str">
        <f aca="false">IF(OR(F79="",G79=""),"",G79-F79+1-INT((G79-F79+WEEKDAY(F79,2))/7))</f>
        <v/>
      </c>
      <c r="I79" s="50"/>
      <c r="J79" s="52"/>
      <c r="K79" s="49" t="str">
        <f aca="false">IF(F79="","",YEAR(F79))</f>
        <v/>
      </c>
      <c r="L79" s="49" t="str">
        <f aca="false">IF(F79="","",MONTH(F79))</f>
        <v/>
      </c>
    </row>
    <row r="80" customFormat="false" ht="15" hidden="false" customHeight="false" outlineLevel="0" collapsed="false">
      <c r="A80" s="49" t="str">
        <f aca="false">IF(B80="","",ROW()-5)</f>
        <v/>
      </c>
      <c r="B80" s="50"/>
      <c r="C80" s="51" t="str">
        <f aca="false">IFERROR(INDEX(Personel!$B:$B,MATCH(B80,Personel!$A:$A,0)),"")</f>
        <v/>
      </c>
      <c r="D80" s="51" t="str">
        <f aca="false">IFERROR(INDEX(Personel!$C:$C,MATCH(B80,Personel!$A:$A,0)),"")</f>
        <v/>
      </c>
      <c r="E80" s="52"/>
      <c r="F80" s="53"/>
      <c r="G80" s="53"/>
      <c r="H80" s="54" t="str">
        <f aca="false">IF(OR(F80="",G80=""),"",G80-F80+1-INT((G80-F80+WEEKDAY(F80,2))/7))</f>
        <v/>
      </c>
      <c r="I80" s="50"/>
      <c r="J80" s="52"/>
      <c r="K80" s="49" t="str">
        <f aca="false">IF(F80="","",YEAR(F80))</f>
        <v/>
      </c>
      <c r="L80" s="49" t="str">
        <f aca="false">IF(F80="","",MONTH(F80))</f>
        <v/>
      </c>
    </row>
    <row r="81" customFormat="false" ht="15" hidden="false" customHeight="false" outlineLevel="0" collapsed="false">
      <c r="A81" s="49" t="str">
        <f aca="false">IF(B81="","",ROW()-5)</f>
        <v/>
      </c>
      <c r="B81" s="50"/>
      <c r="C81" s="51" t="str">
        <f aca="false">IFERROR(INDEX(Personel!$B:$B,MATCH(B81,Personel!$A:$A,0)),"")</f>
        <v/>
      </c>
      <c r="D81" s="51" t="str">
        <f aca="false">IFERROR(INDEX(Personel!$C:$C,MATCH(B81,Personel!$A:$A,0)),"")</f>
        <v/>
      </c>
      <c r="E81" s="52"/>
      <c r="F81" s="53"/>
      <c r="G81" s="53"/>
      <c r="H81" s="54" t="str">
        <f aca="false">IF(OR(F81="",G81=""),"",G81-F81+1-INT((G81-F81+WEEKDAY(F81,2))/7))</f>
        <v/>
      </c>
      <c r="I81" s="50"/>
      <c r="J81" s="52"/>
      <c r="K81" s="49" t="str">
        <f aca="false">IF(F81="","",YEAR(F81))</f>
        <v/>
      </c>
      <c r="L81" s="49" t="str">
        <f aca="false">IF(F81="","",MONTH(F81))</f>
        <v/>
      </c>
    </row>
    <row r="82" customFormat="false" ht="15" hidden="false" customHeight="false" outlineLevel="0" collapsed="false">
      <c r="A82" s="49" t="str">
        <f aca="false">IF(B82="","",ROW()-5)</f>
        <v/>
      </c>
      <c r="B82" s="50"/>
      <c r="C82" s="51" t="str">
        <f aca="false">IFERROR(INDEX(Personel!$B:$B,MATCH(B82,Personel!$A:$A,0)),"")</f>
        <v/>
      </c>
      <c r="D82" s="51" t="str">
        <f aca="false">IFERROR(INDEX(Personel!$C:$C,MATCH(B82,Personel!$A:$A,0)),"")</f>
        <v/>
      </c>
      <c r="E82" s="52"/>
      <c r="F82" s="53"/>
      <c r="G82" s="53"/>
      <c r="H82" s="54" t="str">
        <f aca="false">IF(OR(F82="",G82=""),"",G82-F82+1-INT((G82-F82+WEEKDAY(F82,2))/7))</f>
        <v/>
      </c>
      <c r="I82" s="50"/>
      <c r="J82" s="52"/>
      <c r="K82" s="49" t="str">
        <f aca="false">IF(F82="","",YEAR(F82))</f>
        <v/>
      </c>
      <c r="L82" s="49" t="str">
        <f aca="false">IF(F82="","",MONTH(F82))</f>
        <v/>
      </c>
    </row>
    <row r="83" customFormat="false" ht="15" hidden="false" customHeight="false" outlineLevel="0" collapsed="false">
      <c r="A83" s="49" t="str">
        <f aca="false">IF(B83="","",ROW()-5)</f>
        <v/>
      </c>
      <c r="B83" s="50"/>
      <c r="C83" s="51" t="str">
        <f aca="false">IFERROR(INDEX(Personel!$B:$B,MATCH(B83,Personel!$A:$A,0)),"")</f>
        <v/>
      </c>
      <c r="D83" s="51" t="str">
        <f aca="false">IFERROR(INDEX(Personel!$C:$C,MATCH(B83,Personel!$A:$A,0)),"")</f>
        <v/>
      </c>
      <c r="E83" s="52"/>
      <c r="F83" s="53"/>
      <c r="G83" s="53"/>
      <c r="H83" s="54" t="str">
        <f aca="false">IF(OR(F83="",G83=""),"",G83-F83+1-INT((G83-F83+WEEKDAY(F83,2))/7))</f>
        <v/>
      </c>
      <c r="I83" s="50"/>
      <c r="J83" s="52"/>
      <c r="K83" s="49" t="str">
        <f aca="false">IF(F83="","",YEAR(F83))</f>
        <v/>
      </c>
      <c r="L83" s="49" t="str">
        <f aca="false">IF(F83="","",MONTH(F83))</f>
        <v/>
      </c>
    </row>
    <row r="84" customFormat="false" ht="15" hidden="false" customHeight="false" outlineLevel="0" collapsed="false">
      <c r="A84" s="49" t="str">
        <f aca="false">IF(B84="","",ROW()-5)</f>
        <v/>
      </c>
      <c r="B84" s="50"/>
      <c r="C84" s="51" t="str">
        <f aca="false">IFERROR(INDEX(Personel!$B:$B,MATCH(B84,Personel!$A:$A,0)),"")</f>
        <v/>
      </c>
      <c r="D84" s="51" t="str">
        <f aca="false">IFERROR(INDEX(Personel!$C:$C,MATCH(B84,Personel!$A:$A,0)),"")</f>
        <v/>
      </c>
      <c r="E84" s="52"/>
      <c r="F84" s="53"/>
      <c r="G84" s="53"/>
      <c r="H84" s="54" t="str">
        <f aca="false">IF(OR(F84="",G84=""),"",G84-F84+1-INT((G84-F84+WEEKDAY(F84,2))/7))</f>
        <v/>
      </c>
      <c r="I84" s="50"/>
      <c r="J84" s="52"/>
      <c r="K84" s="49" t="str">
        <f aca="false">IF(F84="","",YEAR(F84))</f>
        <v/>
      </c>
      <c r="L84" s="49" t="str">
        <f aca="false">IF(F84="","",MONTH(F84))</f>
        <v/>
      </c>
    </row>
    <row r="85" customFormat="false" ht="15" hidden="false" customHeight="false" outlineLevel="0" collapsed="false">
      <c r="A85" s="49" t="str">
        <f aca="false">IF(B85="","",ROW()-5)</f>
        <v/>
      </c>
      <c r="B85" s="50"/>
      <c r="C85" s="51" t="str">
        <f aca="false">IFERROR(INDEX(Personel!$B:$B,MATCH(B85,Personel!$A:$A,0)),"")</f>
        <v/>
      </c>
      <c r="D85" s="51" t="str">
        <f aca="false">IFERROR(INDEX(Personel!$C:$C,MATCH(B85,Personel!$A:$A,0)),"")</f>
        <v/>
      </c>
      <c r="E85" s="52"/>
      <c r="F85" s="53"/>
      <c r="G85" s="53"/>
      <c r="H85" s="54" t="str">
        <f aca="false">IF(OR(F85="",G85=""),"",G85-F85+1-INT((G85-F85+WEEKDAY(F85,2))/7))</f>
        <v/>
      </c>
      <c r="I85" s="50"/>
      <c r="J85" s="52"/>
      <c r="K85" s="49" t="str">
        <f aca="false">IF(F85="","",YEAR(F85))</f>
        <v/>
      </c>
      <c r="L85" s="49" t="str">
        <f aca="false">IF(F85="","",MONTH(F85))</f>
        <v/>
      </c>
    </row>
    <row r="86" customFormat="false" ht="15" hidden="false" customHeight="false" outlineLevel="0" collapsed="false">
      <c r="A86" s="49" t="str">
        <f aca="false">IF(B86="","",ROW()-5)</f>
        <v/>
      </c>
      <c r="B86" s="50"/>
      <c r="C86" s="51" t="str">
        <f aca="false">IFERROR(INDEX(Personel!$B:$B,MATCH(B86,Personel!$A:$A,0)),"")</f>
        <v/>
      </c>
      <c r="D86" s="51" t="str">
        <f aca="false">IFERROR(INDEX(Personel!$C:$C,MATCH(B86,Personel!$A:$A,0)),"")</f>
        <v/>
      </c>
      <c r="E86" s="52"/>
      <c r="F86" s="53"/>
      <c r="G86" s="53"/>
      <c r="H86" s="54" t="str">
        <f aca="false">IF(OR(F86="",G86=""),"",G86-F86+1-INT((G86-F86+WEEKDAY(F86,2))/7))</f>
        <v/>
      </c>
      <c r="I86" s="50"/>
      <c r="J86" s="52"/>
      <c r="K86" s="49" t="str">
        <f aca="false">IF(F86="","",YEAR(F86))</f>
        <v/>
      </c>
      <c r="L86" s="49" t="str">
        <f aca="false">IF(F86="","",MONTH(F86))</f>
        <v/>
      </c>
    </row>
    <row r="87" customFormat="false" ht="15" hidden="false" customHeight="false" outlineLevel="0" collapsed="false">
      <c r="A87" s="49" t="str">
        <f aca="false">IF(B87="","",ROW()-5)</f>
        <v/>
      </c>
      <c r="B87" s="50"/>
      <c r="C87" s="51" t="str">
        <f aca="false">IFERROR(INDEX(Personel!$B:$B,MATCH(B87,Personel!$A:$A,0)),"")</f>
        <v/>
      </c>
      <c r="D87" s="51" t="str">
        <f aca="false">IFERROR(INDEX(Personel!$C:$C,MATCH(B87,Personel!$A:$A,0)),"")</f>
        <v/>
      </c>
      <c r="E87" s="52"/>
      <c r="F87" s="53"/>
      <c r="G87" s="53"/>
      <c r="H87" s="54" t="str">
        <f aca="false">IF(OR(F87="",G87=""),"",G87-F87+1-INT((G87-F87+WEEKDAY(F87,2))/7))</f>
        <v/>
      </c>
      <c r="I87" s="50"/>
      <c r="J87" s="52"/>
      <c r="K87" s="49" t="str">
        <f aca="false">IF(F87="","",YEAR(F87))</f>
        <v/>
      </c>
      <c r="L87" s="49" t="str">
        <f aca="false">IF(F87="","",MONTH(F87))</f>
        <v/>
      </c>
    </row>
    <row r="88" customFormat="false" ht="15" hidden="false" customHeight="false" outlineLevel="0" collapsed="false">
      <c r="A88" s="49" t="str">
        <f aca="false">IF(B88="","",ROW()-5)</f>
        <v/>
      </c>
      <c r="B88" s="50"/>
      <c r="C88" s="51" t="str">
        <f aca="false">IFERROR(INDEX(Personel!$B:$B,MATCH(B88,Personel!$A:$A,0)),"")</f>
        <v/>
      </c>
      <c r="D88" s="51" t="str">
        <f aca="false">IFERROR(INDEX(Personel!$C:$C,MATCH(B88,Personel!$A:$A,0)),"")</f>
        <v/>
      </c>
      <c r="E88" s="52"/>
      <c r="F88" s="53"/>
      <c r="G88" s="53"/>
      <c r="H88" s="54" t="str">
        <f aca="false">IF(OR(F88="",G88=""),"",G88-F88+1-INT((G88-F88+WEEKDAY(F88,2))/7))</f>
        <v/>
      </c>
      <c r="I88" s="50"/>
      <c r="J88" s="52"/>
      <c r="K88" s="49" t="str">
        <f aca="false">IF(F88="","",YEAR(F88))</f>
        <v/>
      </c>
      <c r="L88" s="49" t="str">
        <f aca="false">IF(F88="","",MONTH(F88))</f>
        <v/>
      </c>
    </row>
    <row r="89" customFormat="false" ht="15" hidden="false" customHeight="false" outlineLevel="0" collapsed="false">
      <c r="A89" s="49" t="str">
        <f aca="false">IF(B89="","",ROW()-5)</f>
        <v/>
      </c>
      <c r="B89" s="50"/>
      <c r="C89" s="51" t="str">
        <f aca="false">IFERROR(INDEX(Personel!$B:$B,MATCH(B89,Personel!$A:$A,0)),"")</f>
        <v/>
      </c>
      <c r="D89" s="51" t="str">
        <f aca="false">IFERROR(INDEX(Personel!$C:$C,MATCH(B89,Personel!$A:$A,0)),"")</f>
        <v/>
      </c>
      <c r="E89" s="52"/>
      <c r="F89" s="53"/>
      <c r="G89" s="53"/>
      <c r="H89" s="54" t="str">
        <f aca="false">IF(OR(F89="",G89=""),"",G89-F89+1-INT((G89-F89+WEEKDAY(F89,2))/7))</f>
        <v/>
      </c>
      <c r="I89" s="50"/>
      <c r="J89" s="52"/>
      <c r="K89" s="49" t="str">
        <f aca="false">IF(F89="","",YEAR(F89))</f>
        <v/>
      </c>
      <c r="L89" s="49" t="str">
        <f aca="false">IF(F89="","",MONTH(F89))</f>
        <v/>
      </c>
    </row>
    <row r="90" customFormat="false" ht="15" hidden="false" customHeight="false" outlineLevel="0" collapsed="false">
      <c r="A90" s="49" t="str">
        <f aca="false">IF(B90="","",ROW()-5)</f>
        <v/>
      </c>
      <c r="B90" s="50"/>
      <c r="C90" s="51" t="str">
        <f aca="false">IFERROR(INDEX(Personel!$B:$B,MATCH(B90,Personel!$A:$A,0)),"")</f>
        <v/>
      </c>
      <c r="D90" s="51" t="str">
        <f aca="false">IFERROR(INDEX(Personel!$C:$C,MATCH(B90,Personel!$A:$A,0)),"")</f>
        <v/>
      </c>
      <c r="E90" s="52"/>
      <c r="F90" s="53"/>
      <c r="G90" s="53"/>
      <c r="H90" s="54" t="str">
        <f aca="false">IF(OR(F90="",G90=""),"",G90-F90+1-INT((G90-F90+WEEKDAY(F90,2))/7))</f>
        <v/>
      </c>
      <c r="I90" s="50"/>
      <c r="J90" s="52"/>
      <c r="K90" s="49" t="str">
        <f aca="false">IF(F90="","",YEAR(F90))</f>
        <v/>
      </c>
      <c r="L90" s="49" t="str">
        <f aca="false">IF(F90="","",MONTH(F90))</f>
        <v/>
      </c>
    </row>
    <row r="91" customFormat="false" ht="15" hidden="false" customHeight="false" outlineLevel="0" collapsed="false">
      <c r="A91" s="49" t="str">
        <f aca="false">IF(B91="","",ROW()-5)</f>
        <v/>
      </c>
      <c r="B91" s="50"/>
      <c r="C91" s="51" t="str">
        <f aca="false">IFERROR(INDEX(Personel!$B:$B,MATCH(B91,Personel!$A:$A,0)),"")</f>
        <v/>
      </c>
      <c r="D91" s="51" t="str">
        <f aca="false">IFERROR(INDEX(Personel!$C:$C,MATCH(B91,Personel!$A:$A,0)),"")</f>
        <v/>
      </c>
      <c r="E91" s="52"/>
      <c r="F91" s="53"/>
      <c r="G91" s="53"/>
      <c r="H91" s="54" t="str">
        <f aca="false">IF(OR(F91="",G91=""),"",G91-F91+1-INT((G91-F91+WEEKDAY(F91,2))/7))</f>
        <v/>
      </c>
      <c r="I91" s="50"/>
      <c r="J91" s="52"/>
      <c r="K91" s="49" t="str">
        <f aca="false">IF(F91="","",YEAR(F91))</f>
        <v/>
      </c>
      <c r="L91" s="49" t="str">
        <f aca="false">IF(F91="","",MONTH(F91))</f>
        <v/>
      </c>
    </row>
    <row r="92" customFormat="false" ht="15" hidden="false" customHeight="false" outlineLevel="0" collapsed="false">
      <c r="A92" s="49" t="str">
        <f aca="false">IF(B92="","",ROW()-5)</f>
        <v/>
      </c>
      <c r="B92" s="50"/>
      <c r="C92" s="51" t="str">
        <f aca="false">IFERROR(INDEX(Personel!$B:$B,MATCH(B92,Personel!$A:$A,0)),"")</f>
        <v/>
      </c>
      <c r="D92" s="51" t="str">
        <f aca="false">IFERROR(INDEX(Personel!$C:$C,MATCH(B92,Personel!$A:$A,0)),"")</f>
        <v/>
      </c>
      <c r="E92" s="52"/>
      <c r="F92" s="53"/>
      <c r="G92" s="53"/>
      <c r="H92" s="54" t="str">
        <f aca="false">IF(OR(F92="",G92=""),"",G92-F92+1-INT((G92-F92+WEEKDAY(F92,2))/7))</f>
        <v/>
      </c>
      <c r="I92" s="50"/>
      <c r="J92" s="52"/>
      <c r="K92" s="49" t="str">
        <f aca="false">IF(F92="","",YEAR(F92))</f>
        <v/>
      </c>
      <c r="L92" s="49" t="str">
        <f aca="false">IF(F92="","",MONTH(F92))</f>
        <v/>
      </c>
    </row>
    <row r="93" customFormat="false" ht="15" hidden="false" customHeight="false" outlineLevel="0" collapsed="false">
      <c r="A93" s="49" t="str">
        <f aca="false">IF(B93="","",ROW()-5)</f>
        <v/>
      </c>
      <c r="B93" s="50"/>
      <c r="C93" s="51" t="str">
        <f aca="false">IFERROR(INDEX(Personel!$B:$B,MATCH(B93,Personel!$A:$A,0)),"")</f>
        <v/>
      </c>
      <c r="D93" s="51" t="str">
        <f aca="false">IFERROR(INDEX(Personel!$C:$C,MATCH(B93,Personel!$A:$A,0)),"")</f>
        <v/>
      </c>
      <c r="E93" s="52"/>
      <c r="F93" s="53"/>
      <c r="G93" s="53"/>
      <c r="H93" s="54" t="str">
        <f aca="false">IF(OR(F93="",G93=""),"",G93-F93+1-INT((G93-F93+WEEKDAY(F93,2))/7))</f>
        <v/>
      </c>
      <c r="I93" s="50"/>
      <c r="J93" s="52"/>
      <c r="K93" s="49" t="str">
        <f aca="false">IF(F93="","",YEAR(F93))</f>
        <v/>
      </c>
      <c r="L93" s="49" t="str">
        <f aca="false">IF(F93="","",MONTH(F93))</f>
        <v/>
      </c>
    </row>
    <row r="94" customFormat="false" ht="15" hidden="false" customHeight="false" outlineLevel="0" collapsed="false">
      <c r="A94" s="49" t="str">
        <f aca="false">IF(B94="","",ROW()-5)</f>
        <v/>
      </c>
      <c r="B94" s="50"/>
      <c r="C94" s="51" t="str">
        <f aca="false">IFERROR(INDEX(Personel!$B:$B,MATCH(B94,Personel!$A:$A,0)),"")</f>
        <v/>
      </c>
      <c r="D94" s="51" t="str">
        <f aca="false">IFERROR(INDEX(Personel!$C:$C,MATCH(B94,Personel!$A:$A,0)),"")</f>
        <v/>
      </c>
      <c r="E94" s="52"/>
      <c r="F94" s="53"/>
      <c r="G94" s="53"/>
      <c r="H94" s="54" t="str">
        <f aca="false">IF(OR(F94="",G94=""),"",G94-F94+1-INT((G94-F94+WEEKDAY(F94,2))/7))</f>
        <v/>
      </c>
      <c r="I94" s="50"/>
      <c r="J94" s="52"/>
      <c r="K94" s="49" t="str">
        <f aca="false">IF(F94="","",YEAR(F94))</f>
        <v/>
      </c>
      <c r="L94" s="49" t="str">
        <f aca="false">IF(F94="","",MONTH(F94))</f>
        <v/>
      </c>
    </row>
    <row r="95" customFormat="false" ht="15" hidden="false" customHeight="false" outlineLevel="0" collapsed="false">
      <c r="A95" s="49" t="str">
        <f aca="false">IF(B95="","",ROW()-5)</f>
        <v/>
      </c>
      <c r="B95" s="50"/>
      <c r="C95" s="51" t="str">
        <f aca="false">IFERROR(INDEX(Personel!$B:$B,MATCH(B95,Personel!$A:$A,0)),"")</f>
        <v/>
      </c>
      <c r="D95" s="51" t="str">
        <f aca="false">IFERROR(INDEX(Personel!$C:$C,MATCH(B95,Personel!$A:$A,0)),"")</f>
        <v/>
      </c>
      <c r="E95" s="52"/>
      <c r="F95" s="53"/>
      <c r="G95" s="53"/>
      <c r="H95" s="54" t="str">
        <f aca="false">IF(OR(F95="",G95=""),"",G95-F95+1-INT((G95-F95+WEEKDAY(F95,2))/7))</f>
        <v/>
      </c>
      <c r="I95" s="50"/>
      <c r="J95" s="52"/>
      <c r="K95" s="49" t="str">
        <f aca="false">IF(F95="","",YEAR(F95))</f>
        <v/>
      </c>
      <c r="L95" s="49" t="str">
        <f aca="false">IF(F95="","",MONTH(F95))</f>
        <v/>
      </c>
    </row>
    <row r="96" customFormat="false" ht="15" hidden="false" customHeight="false" outlineLevel="0" collapsed="false">
      <c r="A96" s="49" t="str">
        <f aca="false">IF(B96="","",ROW()-5)</f>
        <v/>
      </c>
      <c r="B96" s="50"/>
      <c r="C96" s="51" t="str">
        <f aca="false">IFERROR(INDEX(Personel!$B:$B,MATCH(B96,Personel!$A:$A,0)),"")</f>
        <v/>
      </c>
      <c r="D96" s="51" t="str">
        <f aca="false">IFERROR(INDEX(Personel!$C:$C,MATCH(B96,Personel!$A:$A,0)),"")</f>
        <v/>
      </c>
      <c r="E96" s="52"/>
      <c r="F96" s="53"/>
      <c r="G96" s="53"/>
      <c r="H96" s="54" t="str">
        <f aca="false">IF(OR(F96="",G96=""),"",G96-F96+1-INT((G96-F96+WEEKDAY(F96,2))/7))</f>
        <v/>
      </c>
      <c r="I96" s="50"/>
      <c r="J96" s="52"/>
      <c r="K96" s="49" t="str">
        <f aca="false">IF(F96="","",YEAR(F96))</f>
        <v/>
      </c>
      <c r="L96" s="49" t="str">
        <f aca="false">IF(F96="","",MONTH(F96))</f>
        <v/>
      </c>
    </row>
    <row r="97" customFormat="false" ht="15" hidden="false" customHeight="false" outlineLevel="0" collapsed="false">
      <c r="A97" s="49" t="str">
        <f aca="false">IF(B97="","",ROW()-5)</f>
        <v/>
      </c>
      <c r="B97" s="50"/>
      <c r="C97" s="51" t="str">
        <f aca="false">IFERROR(INDEX(Personel!$B:$B,MATCH(B97,Personel!$A:$A,0)),"")</f>
        <v/>
      </c>
      <c r="D97" s="51" t="str">
        <f aca="false">IFERROR(INDEX(Personel!$C:$C,MATCH(B97,Personel!$A:$A,0)),"")</f>
        <v/>
      </c>
      <c r="E97" s="52"/>
      <c r="F97" s="53"/>
      <c r="G97" s="53"/>
      <c r="H97" s="54" t="str">
        <f aca="false">IF(OR(F97="",G97=""),"",G97-F97+1-INT((G97-F97+WEEKDAY(F97,2))/7))</f>
        <v/>
      </c>
      <c r="I97" s="50"/>
      <c r="J97" s="52"/>
      <c r="K97" s="49" t="str">
        <f aca="false">IF(F97="","",YEAR(F97))</f>
        <v/>
      </c>
      <c r="L97" s="49" t="str">
        <f aca="false">IF(F97="","",MONTH(F97))</f>
        <v/>
      </c>
    </row>
    <row r="98" customFormat="false" ht="15" hidden="false" customHeight="false" outlineLevel="0" collapsed="false">
      <c r="A98" s="49" t="str">
        <f aca="false">IF(B98="","",ROW()-5)</f>
        <v/>
      </c>
      <c r="B98" s="50"/>
      <c r="C98" s="51" t="str">
        <f aca="false">IFERROR(INDEX(Personel!$B:$B,MATCH(B98,Personel!$A:$A,0)),"")</f>
        <v/>
      </c>
      <c r="D98" s="51" t="str">
        <f aca="false">IFERROR(INDEX(Personel!$C:$C,MATCH(B98,Personel!$A:$A,0)),"")</f>
        <v/>
      </c>
      <c r="E98" s="52"/>
      <c r="F98" s="53"/>
      <c r="G98" s="53"/>
      <c r="H98" s="54" t="str">
        <f aca="false">IF(OR(F98="",G98=""),"",G98-F98+1-INT((G98-F98+WEEKDAY(F98,2))/7))</f>
        <v/>
      </c>
      <c r="I98" s="50"/>
      <c r="J98" s="52"/>
      <c r="K98" s="49" t="str">
        <f aca="false">IF(F98="","",YEAR(F98))</f>
        <v/>
      </c>
      <c r="L98" s="49" t="str">
        <f aca="false">IF(F98="","",MONTH(F98))</f>
        <v/>
      </c>
    </row>
    <row r="99" customFormat="false" ht="15" hidden="false" customHeight="false" outlineLevel="0" collapsed="false">
      <c r="A99" s="49" t="str">
        <f aca="false">IF(B99="","",ROW()-5)</f>
        <v/>
      </c>
      <c r="B99" s="50"/>
      <c r="C99" s="51" t="str">
        <f aca="false">IFERROR(INDEX(Personel!$B:$B,MATCH(B99,Personel!$A:$A,0)),"")</f>
        <v/>
      </c>
      <c r="D99" s="51" t="str">
        <f aca="false">IFERROR(INDEX(Personel!$C:$C,MATCH(B99,Personel!$A:$A,0)),"")</f>
        <v/>
      </c>
      <c r="E99" s="52"/>
      <c r="F99" s="53"/>
      <c r="G99" s="53"/>
      <c r="H99" s="54" t="str">
        <f aca="false">IF(OR(F99="",G99=""),"",G99-F99+1-INT((G99-F99+WEEKDAY(F99,2))/7))</f>
        <v/>
      </c>
      <c r="I99" s="50"/>
      <c r="J99" s="52"/>
      <c r="K99" s="49" t="str">
        <f aca="false">IF(F99="","",YEAR(F99))</f>
        <v/>
      </c>
      <c r="L99" s="49" t="str">
        <f aca="false">IF(F99="","",MONTH(F99))</f>
        <v/>
      </c>
    </row>
    <row r="100" customFormat="false" ht="15" hidden="false" customHeight="false" outlineLevel="0" collapsed="false">
      <c r="A100" s="49" t="str">
        <f aca="false">IF(B100="","",ROW()-5)</f>
        <v/>
      </c>
      <c r="B100" s="50"/>
      <c r="C100" s="51" t="str">
        <f aca="false">IFERROR(INDEX(Personel!$B:$B,MATCH(B100,Personel!$A:$A,0)),"")</f>
        <v/>
      </c>
      <c r="D100" s="51" t="str">
        <f aca="false">IFERROR(INDEX(Personel!$C:$C,MATCH(B100,Personel!$A:$A,0)),"")</f>
        <v/>
      </c>
      <c r="E100" s="52"/>
      <c r="F100" s="53"/>
      <c r="G100" s="53"/>
      <c r="H100" s="54" t="str">
        <f aca="false">IF(OR(F100="",G100=""),"",G100-F100+1-INT((G100-F100+WEEKDAY(F100,2))/7))</f>
        <v/>
      </c>
      <c r="I100" s="50"/>
      <c r="J100" s="52"/>
      <c r="K100" s="49" t="str">
        <f aca="false">IF(F100="","",YEAR(F100))</f>
        <v/>
      </c>
      <c r="L100" s="49" t="str">
        <f aca="false">IF(F100="","",MONTH(F100))</f>
        <v/>
      </c>
    </row>
    <row r="101" customFormat="false" ht="15" hidden="false" customHeight="false" outlineLevel="0" collapsed="false">
      <c r="A101" s="49" t="str">
        <f aca="false">IF(B101="","",ROW()-5)</f>
        <v/>
      </c>
      <c r="B101" s="50"/>
      <c r="C101" s="51" t="str">
        <f aca="false">IFERROR(INDEX(Personel!$B:$B,MATCH(B101,Personel!$A:$A,0)),"")</f>
        <v/>
      </c>
      <c r="D101" s="51" t="str">
        <f aca="false">IFERROR(INDEX(Personel!$C:$C,MATCH(B101,Personel!$A:$A,0)),"")</f>
        <v/>
      </c>
      <c r="E101" s="52"/>
      <c r="F101" s="53"/>
      <c r="G101" s="53"/>
      <c r="H101" s="54" t="str">
        <f aca="false">IF(OR(F101="",G101=""),"",G101-F101+1-INT((G101-F101+WEEKDAY(F101,2))/7))</f>
        <v/>
      </c>
      <c r="I101" s="50"/>
      <c r="J101" s="52"/>
      <c r="K101" s="49" t="str">
        <f aca="false">IF(F101="","",YEAR(F101))</f>
        <v/>
      </c>
      <c r="L101" s="49" t="str">
        <f aca="false">IF(F101="","",MONTH(F101))</f>
        <v/>
      </c>
    </row>
    <row r="102" customFormat="false" ht="15" hidden="false" customHeight="false" outlineLevel="0" collapsed="false">
      <c r="A102" s="49" t="str">
        <f aca="false">IF(B102="","",ROW()-5)</f>
        <v/>
      </c>
      <c r="B102" s="50"/>
      <c r="C102" s="51" t="str">
        <f aca="false">IFERROR(INDEX(Personel!$B:$B,MATCH(B102,Personel!$A:$A,0)),"")</f>
        <v/>
      </c>
      <c r="D102" s="51" t="str">
        <f aca="false">IFERROR(INDEX(Personel!$C:$C,MATCH(B102,Personel!$A:$A,0)),"")</f>
        <v/>
      </c>
      <c r="E102" s="52"/>
      <c r="F102" s="53"/>
      <c r="G102" s="53"/>
      <c r="H102" s="54" t="str">
        <f aca="false">IF(OR(F102="",G102=""),"",G102-F102+1-INT((G102-F102+WEEKDAY(F102,2))/7))</f>
        <v/>
      </c>
      <c r="I102" s="50"/>
      <c r="J102" s="52"/>
      <c r="K102" s="49" t="str">
        <f aca="false">IF(F102="","",YEAR(F102))</f>
        <v/>
      </c>
      <c r="L102" s="49" t="str">
        <f aca="false">IF(F102="","",MONTH(F102))</f>
        <v/>
      </c>
    </row>
    <row r="103" customFormat="false" ht="15" hidden="false" customHeight="false" outlineLevel="0" collapsed="false">
      <c r="A103" s="49" t="str">
        <f aca="false">IF(B103="","",ROW()-5)</f>
        <v/>
      </c>
      <c r="B103" s="50"/>
      <c r="C103" s="51" t="str">
        <f aca="false">IFERROR(INDEX(Personel!$B:$B,MATCH(B103,Personel!$A:$A,0)),"")</f>
        <v/>
      </c>
      <c r="D103" s="51" t="str">
        <f aca="false">IFERROR(INDEX(Personel!$C:$C,MATCH(B103,Personel!$A:$A,0)),"")</f>
        <v/>
      </c>
      <c r="E103" s="52"/>
      <c r="F103" s="53"/>
      <c r="G103" s="53"/>
      <c r="H103" s="54" t="str">
        <f aca="false">IF(OR(F103="",G103=""),"",G103-F103+1-INT((G103-F103+WEEKDAY(F103,2))/7))</f>
        <v/>
      </c>
      <c r="I103" s="50"/>
      <c r="J103" s="52"/>
      <c r="K103" s="49" t="str">
        <f aca="false">IF(F103="","",YEAR(F103))</f>
        <v/>
      </c>
      <c r="L103" s="49" t="str">
        <f aca="false">IF(F103="","",MONTH(F103))</f>
        <v/>
      </c>
    </row>
    <row r="104" customFormat="false" ht="15" hidden="false" customHeight="false" outlineLevel="0" collapsed="false">
      <c r="A104" s="49" t="str">
        <f aca="false">IF(B104="","",ROW()-5)</f>
        <v/>
      </c>
      <c r="B104" s="50"/>
      <c r="C104" s="51" t="str">
        <f aca="false">IFERROR(INDEX(Personel!$B:$B,MATCH(B104,Personel!$A:$A,0)),"")</f>
        <v/>
      </c>
      <c r="D104" s="51" t="str">
        <f aca="false">IFERROR(INDEX(Personel!$C:$C,MATCH(B104,Personel!$A:$A,0)),"")</f>
        <v/>
      </c>
      <c r="E104" s="52"/>
      <c r="F104" s="53"/>
      <c r="G104" s="53"/>
      <c r="H104" s="54" t="str">
        <f aca="false">IF(OR(F104="",G104=""),"",G104-F104+1-INT((G104-F104+WEEKDAY(F104,2))/7))</f>
        <v/>
      </c>
      <c r="I104" s="50"/>
      <c r="J104" s="52"/>
      <c r="K104" s="49" t="str">
        <f aca="false">IF(F104="","",YEAR(F104))</f>
        <v/>
      </c>
      <c r="L104" s="49" t="str">
        <f aca="false">IF(F104="","",MONTH(F104))</f>
        <v/>
      </c>
    </row>
    <row r="105" customFormat="false" ht="15" hidden="false" customHeight="false" outlineLevel="0" collapsed="false">
      <c r="A105" s="49" t="str">
        <f aca="false">IF(B105="","",ROW()-5)</f>
        <v/>
      </c>
      <c r="B105" s="50"/>
      <c r="C105" s="51" t="str">
        <f aca="false">IFERROR(INDEX(Personel!$B:$B,MATCH(B105,Personel!$A:$A,0)),"")</f>
        <v/>
      </c>
      <c r="D105" s="51" t="str">
        <f aca="false">IFERROR(INDEX(Personel!$C:$C,MATCH(B105,Personel!$A:$A,0)),"")</f>
        <v/>
      </c>
      <c r="E105" s="52"/>
      <c r="F105" s="53"/>
      <c r="G105" s="53"/>
      <c r="H105" s="54" t="str">
        <f aca="false">IF(OR(F105="",G105=""),"",G105-F105+1-INT((G105-F105+WEEKDAY(F105,2))/7))</f>
        <v/>
      </c>
      <c r="I105" s="50"/>
      <c r="J105" s="52"/>
      <c r="K105" s="49" t="str">
        <f aca="false">IF(F105="","",YEAR(F105))</f>
        <v/>
      </c>
      <c r="L105" s="49" t="str">
        <f aca="false">IF(F105="","",MONTH(F105))</f>
        <v/>
      </c>
    </row>
    <row r="106" customFormat="false" ht="15" hidden="false" customHeight="false" outlineLevel="0" collapsed="false">
      <c r="A106" s="49" t="str">
        <f aca="false">IF(B106="","",ROW()-5)</f>
        <v/>
      </c>
      <c r="B106" s="50"/>
      <c r="C106" s="51" t="str">
        <f aca="false">IFERROR(INDEX(Personel!$B:$B,MATCH(B106,Personel!$A:$A,0)),"")</f>
        <v/>
      </c>
      <c r="D106" s="51" t="str">
        <f aca="false">IFERROR(INDEX(Personel!$C:$C,MATCH(B106,Personel!$A:$A,0)),"")</f>
        <v/>
      </c>
      <c r="E106" s="52"/>
      <c r="F106" s="53"/>
      <c r="G106" s="53"/>
      <c r="H106" s="54" t="str">
        <f aca="false">IF(OR(F106="",G106=""),"",G106-F106+1-INT((G106-F106+WEEKDAY(F106,2))/7))</f>
        <v/>
      </c>
      <c r="I106" s="50"/>
      <c r="J106" s="52"/>
      <c r="K106" s="49" t="str">
        <f aca="false">IF(F106="","",YEAR(F106))</f>
        <v/>
      </c>
      <c r="L106" s="49" t="str">
        <f aca="false">IF(F106="","",MONTH(F106))</f>
        <v/>
      </c>
    </row>
    <row r="107" customFormat="false" ht="15" hidden="false" customHeight="false" outlineLevel="0" collapsed="false">
      <c r="A107" s="49" t="str">
        <f aca="false">IF(B107="","",ROW()-5)</f>
        <v/>
      </c>
      <c r="B107" s="50"/>
      <c r="C107" s="51" t="str">
        <f aca="false">IFERROR(INDEX(Personel!$B:$B,MATCH(B107,Personel!$A:$A,0)),"")</f>
        <v/>
      </c>
      <c r="D107" s="51" t="str">
        <f aca="false">IFERROR(INDEX(Personel!$C:$C,MATCH(B107,Personel!$A:$A,0)),"")</f>
        <v/>
      </c>
      <c r="E107" s="52"/>
      <c r="F107" s="53"/>
      <c r="G107" s="53"/>
      <c r="H107" s="54" t="str">
        <f aca="false">IF(OR(F107="",G107=""),"",G107-F107+1-INT((G107-F107+WEEKDAY(F107,2))/7))</f>
        <v/>
      </c>
      <c r="I107" s="50"/>
      <c r="J107" s="52"/>
      <c r="K107" s="49" t="str">
        <f aca="false">IF(F107="","",YEAR(F107))</f>
        <v/>
      </c>
      <c r="L107" s="49" t="str">
        <f aca="false">IF(F107="","",MONTH(F107))</f>
        <v/>
      </c>
    </row>
    <row r="108" customFormat="false" ht="15" hidden="false" customHeight="false" outlineLevel="0" collapsed="false">
      <c r="A108" s="49" t="str">
        <f aca="false">IF(B108="","",ROW()-5)</f>
        <v/>
      </c>
      <c r="B108" s="50"/>
      <c r="C108" s="51" t="str">
        <f aca="false">IFERROR(INDEX(Personel!$B:$B,MATCH(B108,Personel!$A:$A,0)),"")</f>
        <v/>
      </c>
      <c r="D108" s="51" t="str">
        <f aca="false">IFERROR(INDEX(Personel!$C:$C,MATCH(B108,Personel!$A:$A,0)),"")</f>
        <v/>
      </c>
      <c r="E108" s="52"/>
      <c r="F108" s="53"/>
      <c r="G108" s="53"/>
      <c r="H108" s="54" t="str">
        <f aca="false">IF(OR(F108="",G108=""),"",G108-F108+1-INT((G108-F108+WEEKDAY(F108,2))/7))</f>
        <v/>
      </c>
      <c r="I108" s="50"/>
      <c r="J108" s="52"/>
      <c r="K108" s="49" t="str">
        <f aca="false">IF(F108="","",YEAR(F108))</f>
        <v/>
      </c>
      <c r="L108" s="49" t="str">
        <f aca="false">IF(F108="","",MONTH(F108))</f>
        <v/>
      </c>
    </row>
    <row r="109" customFormat="false" ht="15" hidden="false" customHeight="false" outlineLevel="0" collapsed="false">
      <c r="A109" s="49" t="str">
        <f aca="false">IF(B109="","",ROW()-5)</f>
        <v/>
      </c>
      <c r="B109" s="50"/>
      <c r="C109" s="51" t="str">
        <f aca="false">IFERROR(INDEX(Personel!$B:$B,MATCH(B109,Personel!$A:$A,0)),"")</f>
        <v/>
      </c>
      <c r="D109" s="51" t="str">
        <f aca="false">IFERROR(INDEX(Personel!$C:$C,MATCH(B109,Personel!$A:$A,0)),"")</f>
        <v/>
      </c>
      <c r="E109" s="52"/>
      <c r="F109" s="53"/>
      <c r="G109" s="53"/>
      <c r="H109" s="54" t="str">
        <f aca="false">IF(OR(F109="",G109=""),"",G109-F109+1-INT((G109-F109+WEEKDAY(F109,2))/7))</f>
        <v/>
      </c>
      <c r="I109" s="50"/>
      <c r="J109" s="52"/>
      <c r="K109" s="49" t="str">
        <f aca="false">IF(F109="","",YEAR(F109))</f>
        <v/>
      </c>
      <c r="L109" s="49" t="str">
        <f aca="false">IF(F109="","",MONTH(F109))</f>
        <v/>
      </c>
    </row>
    <row r="110" customFormat="false" ht="15" hidden="false" customHeight="false" outlineLevel="0" collapsed="false">
      <c r="A110" s="49" t="str">
        <f aca="false">IF(B110="","",ROW()-5)</f>
        <v/>
      </c>
      <c r="B110" s="50"/>
      <c r="C110" s="51" t="str">
        <f aca="false">IFERROR(INDEX(Personel!$B:$B,MATCH(B110,Personel!$A:$A,0)),"")</f>
        <v/>
      </c>
      <c r="D110" s="51" t="str">
        <f aca="false">IFERROR(INDEX(Personel!$C:$C,MATCH(B110,Personel!$A:$A,0)),"")</f>
        <v/>
      </c>
      <c r="E110" s="52"/>
      <c r="F110" s="53"/>
      <c r="G110" s="53"/>
      <c r="H110" s="54" t="str">
        <f aca="false">IF(OR(F110="",G110=""),"",G110-F110+1-INT((G110-F110+WEEKDAY(F110,2))/7))</f>
        <v/>
      </c>
      <c r="I110" s="50"/>
      <c r="J110" s="52"/>
      <c r="K110" s="49" t="str">
        <f aca="false">IF(F110="","",YEAR(F110))</f>
        <v/>
      </c>
      <c r="L110" s="49" t="str">
        <f aca="false">IF(F110="","",MONTH(F110))</f>
        <v/>
      </c>
    </row>
    <row r="111" customFormat="false" ht="15" hidden="false" customHeight="false" outlineLevel="0" collapsed="false">
      <c r="A111" s="49" t="str">
        <f aca="false">IF(B111="","",ROW()-5)</f>
        <v/>
      </c>
      <c r="B111" s="50"/>
      <c r="C111" s="51" t="str">
        <f aca="false">IFERROR(INDEX(Personel!$B:$B,MATCH(B111,Personel!$A:$A,0)),"")</f>
        <v/>
      </c>
      <c r="D111" s="51" t="str">
        <f aca="false">IFERROR(INDEX(Personel!$C:$C,MATCH(B111,Personel!$A:$A,0)),"")</f>
        <v/>
      </c>
      <c r="E111" s="52"/>
      <c r="F111" s="53"/>
      <c r="G111" s="53"/>
      <c r="H111" s="54" t="str">
        <f aca="false">IF(OR(F111="",G111=""),"",G111-F111+1-INT((G111-F111+WEEKDAY(F111,2))/7))</f>
        <v/>
      </c>
      <c r="I111" s="50"/>
      <c r="J111" s="52"/>
      <c r="K111" s="49" t="str">
        <f aca="false">IF(F111="","",YEAR(F111))</f>
        <v/>
      </c>
      <c r="L111" s="49" t="str">
        <f aca="false">IF(F111="","",MONTH(F111))</f>
        <v/>
      </c>
    </row>
    <row r="112" customFormat="false" ht="15" hidden="false" customHeight="false" outlineLevel="0" collapsed="false">
      <c r="A112" s="49" t="str">
        <f aca="false">IF(B112="","",ROW()-5)</f>
        <v/>
      </c>
      <c r="B112" s="50"/>
      <c r="C112" s="51" t="str">
        <f aca="false">IFERROR(INDEX(Personel!$B:$B,MATCH(B112,Personel!$A:$A,0)),"")</f>
        <v/>
      </c>
      <c r="D112" s="51" t="str">
        <f aca="false">IFERROR(INDEX(Personel!$C:$C,MATCH(B112,Personel!$A:$A,0)),"")</f>
        <v/>
      </c>
      <c r="E112" s="52"/>
      <c r="F112" s="53"/>
      <c r="G112" s="53"/>
      <c r="H112" s="54" t="str">
        <f aca="false">IF(OR(F112="",G112=""),"",G112-F112+1-INT((G112-F112+WEEKDAY(F112,2))/7))</f>
        <v/>
      </c>
      <c r="I112" s="50"/>
      <c r="J112" s="52"/>
      <c r="K112" s="49" t="str">
        <f aca="false">IF(F112="","",YEAR(F112))</f>
        <v/>
      </c>
      <c r="L112" s="49" t="str">
        <f aca="false">IF(F112="","",MONTH(F112))</f>
        <v/>
      </c>
    </row>
    <row r="113" customFormat="false" ht="15" hidden="false" customHeight="false" outlineLevel="0" collapsed="false">
      <c r="A113" s="49" t="str">
        <f aca="false">IF(B113="","",ROW()-5)</f>
        <v/>
      </c>
      <c r="B113" s="50"/>
      <c r="C113" s="51" t="str">
        <f aca="false">IFERROR(INDEX(Personel!$B:$B,MATCH(B113,Personel!$A:$A,0)),"")</f>
        <v/>
      </c>
      <c r="D113" s="51" t="str">
        <f aca="false">IFERROR(INDEX(Personel!$C:$C,MATCH(B113,Personel!$A:$A,0)),"")</f>
        <v/>
      </c>
      <c r="E113" s="52"/>
      <c r="F113" s="53"/>
      <c r="G113" s="53"/>
      <c r="H113" s="54" t="str">
        <f aca="false">IF(OR(F113="",G113=""),"",G113-F113+1-INT((G113-F113+WEEKDAY(F113,2))/7))</f>
        <v/>
      </c>
      <c r="I113" s="50"/>
      <c r="J113" s="52"/>
      <c r="K113" s="49" t="str">
        <f aca="false">IF(F113="","",YEAR(F113))</f>
        <v/>
      </c>
      <c r="L113" s="49" t="str">
        <f aca="false">IF(F113="","",MONTH(F113))</f>
        <v/>
      </c>
    </row>
    <row r="114" customFormat="false" ht="15" hidden="false" customHeight="false" outlineLevel="0" collapsed="false">
      <c r="A114" s="49" t="str">
        <f aca="false">IF(B114="","",ROW()-5)</f>
        <v/>
      </c>
      <c r="B114" s="50"/>
      <c r="C114" s="51" t="str">
        <f aca="false">IFERROR(INDEX(Personel!$B:$B,MATCH(B114,Personel!$A:$A,0)),"")</f>
        <v/>
      </c>
      <c r="D114" s="51" t="str">
        <f aca="false">IFERROR(INDEX(Personel!$C:$C,MATCH(B114,Personel!$A:$A,0)),"")</f>
        <v/>
      </c>
      <c r="E114" s="52"/>
      <c r="F114" s="53"/>
      <c r="G114" s="53"/>
      <c r="H114" s="54" t="str">
        <f aca="false">IF(OR(F114="",G114=""),"",G114-F114+1-INT((G114-F114+WEEKDAY(F114,2))/7))</f>
        <v/>
      </c>
      <c r="I114" s="50"/>
      <c r="J114" s="52"/>
      <c r="K114" s="49" t="str">
        <f aca="false">IF(F114="","",YEAR(F114))</f>
        <v/>
      </c>
      <c r="L114" s="49" t="str">
        <f aca="false">IF(F114="","",MONTH(F114))</f>
        <v/>
      </c>
    </row>
    <row r="115" customFormat="false" ht="15" hidden="false" customHeight="false" outlineLevel="0" collapsed="false">
      <c r="A115" s="49" t="str">
        <f aca="false">IF(B115="","",ROW()-5)</f>
        <v/>
      </c>
      <c r="B115" s="50"/>
      <c r="C115" s="51" t="str">
        <f aca="false">IFERROR(INDEX(Personel!$B:$B,MATCH(B115,Personel!$A:$A,0)),"")</f>
        <v/>
      </c>
      <c r="D115" s="51" t="str">
        <f aca="false">IFERROR(INDEX(Personel!$C:$C,MATCH(B115,Personel!$A:$A,0)),"")</f>
        <v/>
      </c>
      <c r="E115" s="52"/>
      <c r="F115" s="53"/>
      <c r="G115" s="53"/>
      <c r="H115" s="54" t="str">
        <f aca="false">IF(OR(F115="",G115=""),"",G115-F115+1-INT((G115-F115+WEEKDAY(F115,2))/7))</f>
        <v/>
      </c>
      <c r="I115" s="50"/>
      <c r="J115" s="52"/>
      <c r="K115" s="49" t="str">
        <f aca="false">IF(F115="","",YEAR(F115))</f>
        <v/>
      </c>
      <c r="L115" s="49" t="str">
        <f aca="false">IF(F115="","",MONTH(F115))</f>
        <v/>
      </c>
    </row>
    <row r="116" customFormat="false" ht="15" hidden="false" customHeight="false" outlineLevel="0" collapsed="false">
      <c r="A116" s="49" t="str">
        <f aca="false">IF(B116="","",ROW()-5)</f>
        <v/>
      </c>
      <c r="B116" s="50"/>
      <c r="C116" s="51" t="str">
        <f aca="false">IFERROR(INDEX(Personel!$B:$B,MATCH(B116,Personel!$A:$A,0)),"")</f>
        <v/>
      </c>
      <c r="D116" s="51" t="str">
        <f aca="false">IFERROR(INDEX(Personel!$C:$C,MATCH(B116,Personel!$A:$A,0)),"")</f>
        <v/>
      </c>
      <c r="E116" s="52"/>
      <c r="F116" s="53"/>
      <c r="G116" s="53"/>
      <c r="H116" s="54" t="str">
        <f aca="false">IF(OR(F116="",G116=""),"",G116-F116+1-INT((G116-F116+WEEKDAY(F116,2))/7))</f>
        <v/>
      </c>
      <c r="I116" s="50"/>
      <c r="J116" s="52"/>
      <c r="K116" s="49" t="str">
        <f aca="false">IF(F116="","",YEAR(F116))</f>
        <v/>
      </c>
      <c r="L116" s="49" t="str">
        <f aca="false">IF(F116="","",MONTH(F116))</f>
        <v/>
      </c>
    </row>
    <row r="117" customFormat="false" ht="15" hidden="false" customHeight="false" outlineLevel="0" collapsed="false">
      <c r="A117" s="49" t="str">
        <f aca="false">IF(B117="","",ROW()-5)</f>
        <v/>
      </c>
      <c r="B117" s="50"/>
      <c r="C117" s="51" t="str">
        <f aca="false">IFERROR(INDEX(Personel!$B:$B,MATCH(B117,Personel!$A:$A,0)),"")</f>
        <v/>
      </c>
      <c r="D117" s="51" t="str">
        <f aca="false">IFERROR(INDEX(Personel!$C:$C,MATCH(B117,Personel!$A:$A,0)),"")</f>
        <v/>
      </c>
      <c r="E117" s="52"/>
      <c r="F117" s="53"/>
      <c r="G117" s="53"/>
      <c r="H117" s="54" t="str">
        <f aca="false">IF(OR(F117="",G117=""),"",G117-F117+1-INT((G117-F117+WEEKDAY(F117,2))/7))</f>
        <v/>
      </c>
      <c r="I117" s="50"/>
      <c r="J117" s="52"/>
      <c r="K117" s="49" t="str">
        <f aca="false">IF(F117="","",YEAR(F117))</f>
        <v/>
      </c>
      <c r="L117" s="49" t="str">
        <f aca="false">IF(F117="","",MONTH(F117))</f>
        <v/>
      </c>
    </row>
    <row r="118" customFormat="false" ht="15" hidden="false" customHeight="false" outlineLevel="0" collapsed="false">
      <c r="A118" s="49" t="str">
        <f aca="false">IF(B118="","",ROW()-5)</f>
        <v/>
      </c>
      <c r="B118" s="50"/>
      <c r="C118" s="51" t="str">
        <f aca="false">IFERROR(INDEX(Personel!$B:$B,MATCH(B118,Personel!$A:$A,0)),"")</f>
        <v/>
      </c>
      <c r="D118" s="51" t="str">
        <f aca="false">IFERROR(INDEX(Personel!$C:$C,MATCH(B118,Personel!$A:$A,0)),"")</f>
        <v/>
      </c>
      <c r="E118" s="52"/>
      <c r="F118" s="53"/>
      <c r="G118" s="53"/>
      <c r="H118" s="54" t="str">
        <f aca="false">IF(OR(F118="",G118=""),"",G118-F118+1-INT((G118-F118+WEEKDAY(F118,2))/7))</f>
        <v/>
      </c>
      <c r="I118" s="50"/>
      <c r="J118" s="52"/>
      <c r="K118" s="49" t="str">
        <f aca="false">IF(F118="","",YEAR(F118))</f>
        <v/>
      </c>
      <c r="L118" s="49" t="str">
        <f aca="false">IF(F118="","",MONTH(F118))</f>
        <v/>
      </c>
    </row>
    <row r="119" customFormat="false" ht="15" hidden="false" customHeight="false" outlineLevel="0" collapsed="false">
      <c r="A119" s="49" t="str">
        <f aca="false">IF(B119="","",ROW()-5)</f>
        <v/>
      </c>
      <c r="B119" s="50"/>
      <c r="C119" s="51" t="str">
        <f aca="false">IFERROR(INDEX(Personel!$B:$B,MATCH(B119,Personel!$A:$A,0)),"")</f>
        <v/>
      </c>
      <c r="D119" s="51" t="str">
        <f aca="false">IFERROR(INDEX(Personel!$C:$C,MATCH(B119,Personel!$A:$A,0)),"")</f>
        <v/>
      </c>
      <c r="E119" s="52"/>
      <c r="F119" s="53"/>
      <c r="G119" s="53"/>
      <c r="H119" s="54" t="str">
        <f aca="false">IF(OR(F119="",G119=""),"",G119-F119+1-INT((G119-F119+WEEKDAY(F119,2))/7))</f>
        <v/>
      </c>
      <c r="I119" s="50"/>
      <c r="J119" s="52"/>
      <c r="K119" s="49" t="str">
        <f aca="false">IF(F119="","",YEAR(F119))</f>
        <v/>
      </c>
      <c r="L119" s="49" t="str">
        <f aca="false">IF(F119="","",MONTH(F119))</f>
        <v/>
      </c>
    </row>
    <row r="120" customFormat="false" ht="15" hidden="false" customHeight="false" outlineLevel="0" collapsed="false">
      <c r="A120" s="49" t="str">
        <f aca="false">IF(B120="","",ROW()-5)</f>
        <v/>
      </c>
      <c r="B120" s="50"/>
      <c r="C120" s="51" t="str">
        <f aca="false">IFERROR(INDEX(Personel!$B:$B,MATCH(B120,Personel!$A:$A,0)),"")</f>
        <v/>
      </c>
      <c r="D120" s="51" t="str">
        <f aca="false">IFERROR(INDEX(Personel!$C:$C,MATCH(B120,Personel!$A:$A,0)),"")</f>
        <v/>
      </c>
      <c r="E120" s="52"/>
      <c r="F120" s="53"/>
      <c r="G120" s="53"/>
      <c r="H120" s="54" t="str">
        <f aca="false">IF(OR(F120="",G120=""),"",G120-F120+1-INT((G120-F120+WEEKDAY(F120,2))/7))</f>
        <v/>
      </c>
      <c r="I120" s="50"/>
      <c r="J120" s="52"/>
      <c r="K120" s="49" t="str">
        <f aca="false">IF(F120="","",YEAR(F120))</f>
        <v/>
      </c>
      <c r="L120" s="49" t="str">
        <f aca="false">IF(F120="","",MONTH(F120))</f>
        <v/>
      </c>
    </row>
    <row r="121" customFormat="false" ht="15" hidden="false" customHeight="false" outlineLevel="0" collapsed="false">
      <c r="A121" s="49" t="str">
        <f aca="false">IF(B121="","",ROW()-5)</f>
        <v/>
      </c>
      <c r="B121" s="50"/>
      <c r="C121" s="51" t="str">
        <f aca="false">IFERROR(INDEX(Personel!$B:$B,MATCH(B121,Personel!$A:$A,0)),"")</f>
        <v/>
      </c>
      <c r="D121" s="51" t="str">
        <f aca="false">IFERROR(INDEX(Personel!$C:$C,MATCH(B121,Personel!$A:$A,0)),"")</f>
        <v/>
      </c>
      <c r="E121" s="52"/>
      <c r="F121" s="53"/>
      <c r="G121" s="53"/>
      <c r="H121" s="54" t="str">
        <f aca="false">IF(OR(F121="",G121=""),"",G121-F121+1-INT((G121-F121+WEEKDAY(F121,2))/7))</f>
        <v/>
      </c>
      <c r="I121" s="50"/>
      <c r="J121" s="52"/>
      <c r="K121" s="49" t="str">
        <f aca="false">IF(F121="","",YEAR(F121))</f>
        <v/>
      </c>
      <c r="L121" s="49" t="str">
        <f aca="false">IF(F121="","",MONTH(F121))</f>
        <v/>
      </c>
    </row>
    <row r="122" customFormat="false" ht="15" hidden="false" customHeight="false" outlineLevel="0" collapsed="false">
      <c r="A122" s="49" t="str">
        <f aca="false">IF(B122="","",ROW()-5)</f>
        <v/>
      </c>
      <c r="B122" s="50"/>
      <c r="C122" s="51" t="str">
        <f aca="false">IFERROR(INDEX(Personel!$B:$B,MATCH(B122,Personel!$A:$A,0)),"")</f>
        <v/>
      </c>
      <c r="D122" s="51" t="str">
        <f aca="false">IFERROR(INDEX(Personel!$C:$C,MATCH(B122,Personel!$A:$A,0)),"")</f>
        <v/>
      </c>
      <c r="E122" s="52"/>
      <c r="F122" s="53"/>
      <c r="G122" s="53"/>
      <c r="H122" s="54" t="str">
        <f aca="false">IF(OR(F122="",G122=""),"",G122-F122+1-INT((G122-F122+WEEKDAY(F122,2))/7))</f>
        <v/>
      </c>
      <c r="I122" s="50"/>
      <c r="J122" s="52"/>
      <c r="K122" s="49" t="str">
        <f aca="false">IF(F122="","",YEAR(F122))</f>
        <v/>
      </c>
      <c r="L122" s="49" t="str">
        <f aca="false">IF(F122="","",MONTH(F122))</f>
        <v/>
      </c>
    </row>
    <row r="123" customFormat="false" ht="15" hidden="false" customHeight="false" outlineLevel="0" collapsed="false">
      <c r="A123" s="49" t="str">
        <f aca="false">IF(B123="","",ROW()-5)</f>
        <v/>
      </c>
      <c r="B123" s="50"/>
      <c r="C123" s="51" t="str">
        <f aca="false">IFERROR(INDEX(Personel!$B:$B,MATCH(B123,Personel!$A:$A,0)),"")</f>
        <v/>
      </c>
      <c r="D123" s="51" t="str">
        <f aca="false">IFERROR(INDEX(Personel!$C:$C,MATCH(B123,Personel!$A:$A,0)),"")</f>
        <v/>
      </c>
      <c r="E123" s="52"/>
      <c r="F123" s="53"/>
      <c r="G123" s="53"/>
      <c r="H123" s="54" t="str">
        <f aca="false">IF(OR(F123="",G123=""),"",G123-F123+1-INT((G123-F123+WEEKDAY(F123,2))/7))</f>
        <v/>
      </c>
      <c r="I123" s="50"/>
      <c r="J123" s="52"/>
      <c r="K123" s="49" t="str">
        <f aca="false">IF(F123="","",YEAR(F123))</f>
        <v/>
      </c>
      <c r="L123" s="49" t="str">
        <f aca="false">IF(F123="","",MONTH(F123))</f>
        <v/>
      </c>
    </row>
    <row r="124" customFormat="false" ht="15" hidden="false" customHeight="false" outlineLevel="0" collapsed="false">
      <c r="A124" s="49" t="str">
        <f aca="false">IF(B124="","",ROW()-5)</f>
        <v/>
      </c>
      <c r="B124" s="50"/>
      <c r="C124" s="51" t="str">
        <f aca="false">IFERROR(INDEX(Personel!$B:$B,MATCH(B124,Personel!$A:$A,0)),"")</f>
        <v/>
      </c>
      <c r="D124" s="51" t="str">
        <f aca="false">IFERROR(INDEX(Personel!$C:$C,MATCH(B124,Personel!$A:$A,0)),"")</f>
        <v/>
      </c>
      <c r="E124" s="52"/>
      <c r="F124" s="53"/>
      <c r="G124" s="53"/>
      <c r="H124" s="54" t="str">
        <f aca="false">IF(OR(F124="",G124=""),"",G124-F124+1-INT((G124-F124+WEEKDAY(F124,2))/7))</f>
        <v/>
      </c>
      <c r="I124" s="50"/>
      <c r="J124" s="52"/>
      <c r="K124" s="49" t="str">
        <f aca="false">IF(F124="","",YEAR(F124))</f>
        <v/>
      </c>
      <c r="L124" s="49" t="str">
        <f aca="false">IF(F124="","",MONTH(F124))</f>
        <v/>
      </c>
    </row>
    <row r="125" customFormat="false" ht="15" hidden="false" customHeight="false" outlineLevel="0" collapsed="false">
      <c r="A125" s="49" t="str">
        <f aca="false">IF(B125="","",ROW()-5)</f>
        <v/>
      </c>
      <c r="B125" s="50"/>
      <c r="C125" s="51" t="str">
        <f aca="false">IFERROR(INDEX(Personel!$B:$B,MATCH(B125,Personel!$A:$A,0)),"")</f>
        <v/>
      </c>
      <c r="D125" s="51" t="str">
        <f aca="false">IFERROR(INDEX(Personel!$C:$C,MATCH(B125,Personel!$A:$A,0)),"")</f>
        <v/>
      </c>
      <c r="E125" s="52"/>
      <c r="F125" s="53"/>
      <c r="G125" s="53"/>
      <c r="H125" s="54" t="str">
        <f aca="false">IF(OR(F125="",G125=""),"",G125-F125+1-INT((G125-F125+WEEKDAY(F125,2))/7))</f>
        <v/>
      </c>
      <c r="I125" s="50"/>
      <c r="J125" s="52"/>
      <c r="K125" s="49" t="str">
        <f aca="false">IF(F125="","",YEAR(F125))</f>
        <v/>
      </c>
      <c r="L125" s="49" t="str">
        <f aca="false">IF(F125="","",MONTH(F125))</f>
        <v/>
      </c>
    </row>
    <row r="126" customFormat="false" ht="15" hidden="false" customHeight="false" outlineLevel="0" collapsed="false">
      <c r="A126" s="49" t="str">
        <f aca="false">IF(B126="","",ROW()-5)</f>
        <v/>
      </c>
      <c r="B126" s="50"/>
      <c r="C126" s="51" t="str">
        <f aca="false">IFERROR(INDEX(Personel!$B:$B,MATCH(B126,Personel!$A:$A,0)),"")</f>
        <v/>
      </c>
      <c r="D126" s="51" t="str">
        <f aca="false">IFERROR(INDEX(Personel!$C:$C,MATCH(B126,Personel!$A:$A,0)),"")</f>
        <v/>
      </c>
      <c r="E126" s="52"/>
      <c r="F126" s="53"/>
      <c r="G126" s="53"/>
      <c r="H126" s="54" t="str">
        <f aca="false">IF(OR(F126="",G126=""),"",G126-F126+1-INT((G126-F126+WEEKDAY(F126,2))/7))</f>
        <v/>
      </c>
      <c r="I126" s="50"/>
      <c r="J126" s="52"/>
      <c r="K126" s="49" t="str">
        <f aca="false">IF(F126="","",YEAR(F126))</f>
        <v/>
      </c>
      <c r="L126" s="49" t="str">
        <f aca="false">IF(F126="","",MONTH(F126))</f>
        <v/>
      </c>
    </row>
    <row r="127" customFormat="false" ht="15" hidden="false" customHeight="false" outlineLevel="0" collapsed="false">
      <c r="A127" s="49" t="str">
        <f aca="false">IF(B127="","",ROW()-5)</f>
        <v/>
      </c>
      <c r="B127" s="50"/>
      <c r="C127" s="51" t="str">
        <f aca="false">IFERROR(INDEX(Personel!$B:$B,MATCH(B127,Personel!$A:$A,0)),"")</f>
        <v/>
      </c>
      <c r="D127" s="51" t="str">
        <f aca="false">IFERROR(INDEX(Personel!$C:$C,MATCH(B127,Personel!$A:$A,0)),"")</f>
        <v/>
      </c>
      <c r="E127" s="52"/>
      <c r="F127" s="53"/>
      <c r="G127" s="53"/>
      <c r="H127" s="54" t="str">
        <f aca="false">IF(OR(F127="",G127=""),"",G127-F127+1-INT((G127-F127+WEEKDAY(F127,2))/7))</f>
        <v/>
      </c>
      <c r="I127" s="50"/>
      <c r="J127" s="52"/>
      <c r="K127" s="49" t="str">
        <f aca="false">IF(F127="","",YEAR(F127))</f>
        <v/>
      </c>
      <c r="L127" s="49" t="str">
        <f aca="false">IF(F127="","",MONTH(F127))</f>
        <v/>
      </c>
    </row>
    <row r="128" customFormat="false" ht="15" hidden="false" customHeight="false" outlineLevel="0" collapsed="false">
      <c r="A128" s="49" t="str">
        <f aca="false">IF(B128="","",ROW()-5)</f>
        <v/>
      </c>
      <c r="B128" s="50"/>
      <c r="C128" s="51" t="str">
        <f aca="false">IFERROR(INDEX(Personel!$B:$B,MATCH(B128,Personel!$A:$A,0)),"")</f>
        <v/>
      </c>
      <c r="D128" s="51" t="str">
        <f aca="false">IFERROR(INDEX(Personel!$C:$C,MATCH(B128,Personel!$A:$A,0)),"")</f>
        <v/>
      </c>
      <c r="E128" s="52"/>
      <c r="F128" s="53"/>
      <c r="G128" s="53"/>
      <c r="H128" s="54" t="str">
        <f aca="false">IF(OR(F128="",G128=""),"",G128-F128+1-INT((G128-F128+WEEKDAY(F128,2))/7))</f>
        <v/>
      </c>
      <c r="I128" s="50"/>
      <c r="J128" s="52"/>
      <c r="K128" s="49" t="str">
        <f aca="false">IF(F128="","",YEAR(F128))</f>
        <v/>
      </c>
      <c r="L128" s="49" t="str">
        <f aca="false">IF(F128="","",MONTH(F128))</f>
        <v/>
      </c>
    </row>
    <row r="129" customFormat="false" ht="15" hidden="false" customHeight="false" outlineLevel="0" collapsed="false">
      <c r="A129" s="49" t="str">
        <f aca="false">IF(B129="","",ROW()-5)</f>
        <v/>
      </c>
      <c r="B129" s="50"/>
      <c r="C129" s="51" t="str">
        <f aca="false">IFERROR(INDEX(Personel!$B:$B,MATCH(B129,Personel!$A:$A,0)),"")</f>
        <v/>
      </c>
      <c r="D129" s="51" t="str">
        <f aca="false">IFERROR(INDEX(Personel!$C:$C,MATCH(B129,Personel!$A:$A,0)),"")</f>
        <v/>
      </c>
      <c r="E129" s="52"/>
      <c r="F129" s="53"/>
      <c r="G129" s="53"/>
      <c r="H129" s="54" t="str">
        <f aca="false">IF(OR(F129="",G129=""),"",G129-F129+1-INT((G129-F129+WEEKDAY(F129,2))/7))</f>
        <v/>
      </c>
      <c r="I129" s="50"/>
      <c r="J129" s="52"/>
      <c r="K129" s="49" t="str">
        <f aca="false">IF(F129="","",YEAR(F129))</f>
        <v/>
      </c>
      <c r="L129" s="49" t="str">
        <f aca="false">IF(F129="","",MONTH(F129))</f>
        <v/>
      </c>
    </row>
    <row r="130" customFormat="false" ht="15" hidden="false" customHeight="false" outlineLevel="0" collapsed="false">
      <c r="A130" s="49" t="str">
        <f aca="false">IF(B130="","",ROW()-5)</f>
        <v/>
      </c>
      <c r="B130" s="50"/>
      <c r="C130" s="51" t="str">
        <f aca="false">IFERROR(INDEX(Personel!$B:$B,MATCH(B130,Personel!$A:$A,0)),"")</f>
        <v/>
      </c>
      <c r="D130" s="51" t="str">
        <f aca="false">IFERROR(INDEX(Personel!$C:$C,MATCH(B130,Personel!$A:$A,0)),"")</f>
        <v/>
      </c>
      <c r="E130" s="52"/>
      <c r="F130" s="53"/>
      <c r="G130" s="53"/>
      <c r="H130" s="54" t="str">
        <f aca="false">IF(OR(F130="",G130=""),"",G130-F130+1-INT((G130-F130+WEEKDAY(F130,2))/7))</f>
        <v/>
      </c>
      <c r="I130" s="50"/>
      <c r="J130" s="52"/>
      <c r="K130" s="49" t="str">
        <f aca="false">IF(F130="","",YEAR(F130))</f>
        <v/>
      </c>
      <c r="L130" s="49" t="str">
        <f aca="false">IF(F130="","",MONTH(F130))</f>
        <v/>
      </c>
    </row>
    <row r="131" customFormat="false" ht="15" hidden="false" customHeight="false" outlineLevel="0" collapsed="false">
      <c r="A131" s="49" t="str">
        <f aca="false">IF(B131="","",ROW()-5)</f>
        <v/>
      </c>
      <c r="B131" s="50"/>
      <c r="C131" s="51" t="str">
        <f aca="false">IFERROR(INDEX(Personel!$B:$B,MATCH(B131,Personel!$A:$A,0)),"")</f>
        <v/>
      </c>
      <c r="D131" s="51" t="str">
        <f aca="false">IFERROR(INDEX(Personel!$C:$C,MATCH(B131,Personel!$A:$A,0)),"")</f>
        <v/>
      </c>
      <c r="E131" s="52"/>
      <c r="F131" s="53"/>
      <c r="G131" s="53"/>
      <c r="H131" s="54" t="str">
        <f aca="false">IF(OR(F131="",G131=""),"",G131-F131+1-INT((G131-F131+WEEKDAY(F131,2))/7))</f>
        <v/>
      </c>
      <c r="I131" s="50"/>
      <c r="J131" s="52"/>
      <c r="K131" s="49" t="str">
        <f aca="false">IF(F131="","",YEAR(F131))</f>
        <v/>
      </c>
      <c r="L131" s="49" t="str">
        <f aca="false">IF(F131="","",MONTH(F131))</f>
        <v/>
      </c>
    </row>
    <row r="132" customFormat="false" ht="15" hidden="false" customHeight="false" outlineLevel="0" collapsed="false">
      <c r="A132" s="49" t="str">
        <f aca="false">IF(B132="","",ROW()-5)</f>
        <v/>
      </c>
      <c r="B132" s="50"/>
      <c r="C132" s="51" t="str">
        <f aca="false">IFERROR(INDEX(Personel!$B:$B,MATCH(B132,Personel!$A:$A,0)),"")</f>
        <v/>
      </c>
      <c r="D132" s="51" t="str">
        <f aca="false">IFERROR(INDEX(Personel!$C:$C,MATCH(B132,Personel!$A:$A,0)),"")</f>
        <v/>
      </c>
      <c r="E132" s="52"/>
      <c r="F132" s="53"/>
      <c r="G132" s="53"/>
      <c r="H132" s="54" t="str">
        <f aca="false">IF(OR(F132="",G132=""),"",G132-F132+1-INT((G132-F132+WEEKDAY(F132,2))/7))</f>
        <v/>
      </c>
      <c r="I132" s="50"/>
      <c r="J132" s="52"/>
      <c r="K132" s="49" t="str">
        <f aca="false">IF(F132="","",YEAR(F132))</f>
        <v/>
      </c>
      <c r="L132" s="49" t="str">
        <f aca="false">IF(F132="","",MONTH(F132))</f>
        <v/>
      </c>
    </row>
    <row r="133" customFormat="false" ht="15" hidden="false" customHeight="false" outlineLevel="0" collapsed="false">
      <c r="A133" s="49" t="str">
        <f aca="false">IF(B133="","",ROW()-5)</f>
        <v/>
      </c>
      <c r="B133" s="50"/>
      <c r="C133" s="51" t="str">
        <f aca="false">IFERROR(INDEX(Personel!$B:$B,MATCH(B133,Personel!$A:$A,0)),"")</f>
        <v/>
      </c>
      <c r="D133" s="51" t="str">
        <f aca="false">IFERROR(INDEX(Personel!$C:$C,MATCH(B133,Personel!$A:$A,0)),"")</f>
        <v/>
      </c>
      <c r="E133" s="52"/>
      <c r="F133" s="53"/>
      <c r="G133" s="53"/>
      <c r="H133" s="54" t="str">
        <f aca="false">IF(OR(F133="",G133=""),"",G133-F133+1-INT((G133-F133+WEEKDAY(F133,2))/7))</f>
        <v/>
      </c>
      <c r="I133" s="50"/>
      <c r="J133" s="52"/>
      <c r="K133" s="49" t="str">
        <f aca="false">IF(F133="","",YEAR(F133))</f>
        <v/>
      </c>
      <c r="L133" s="49" t="str">
        <f aca="false">IF(F133="","",MONTH(F133))</f>
        <v/>
      </c>
    </row>
    <row r="134" customFormat="false" ht="15" hidden="false" customHeight="false" outlineLevel="0" collapsed="false">
      <c r="A134" s="49" t="str">
        <f aca="false">IF(B134="","",ROW()-5)</f>
        <v/>
      </c>
      <c r="B134" s="50"/>
      <c r="C134" s="51" t="str">
        <f aca="false">IFERROR(INDEX(Personel!$B:$B,MATCH(B134,Personel!$A:$A,0)),"")</f>
        <v/>
      </c>
      <c r="D134" s="51" t="str">
        <f aca="false">IFERROR(INDEX(Personel!$C:$C,MATCH(B134,Personel!$A:$A,0)),"")</f>
        <v/>
      </c>
      <c r="E134" s="52"/>
      <c r="F134" s="53"/>
      <c r="G134" s="53"/>
      <c r="H134" s="54" t="str">
        <f aca="false">IF(OR(F134="",G134=""),"",G134-F134+1-INT((G134-F134+WEEKDAY(F134,2))/7))</f>
        <v/>
      </c>
      <c r="I134" s="50"/>
      <c r="J134" s="52"/>
      <c r="K134" s="49" t="str">
        <f aca="false">IF(F134="","",YEAR(F134))</f>
        <v/>
      </c>
      <c r="L134" s="49" t="str">
        <f aca="false">IF(F134="","",MONTH(F134))</f>
        <v/>
      </c>
    </row>
    <row r="135" customFormat="false" ht="15" hidden="false" customHeight="false" outlineLevel="0" collapsed="false">
      <c r="A135" s="49" t="str">
        <f aca="false">IF(B135="","",ROW()-5)</f>
        <v/>
      </c>
      <c r="B135" s="50"/>
      <c r="C135" s="51" t="str">
        <f aca="false">IFERROR(INDEX(Personel!$B:$B,MATCH(B135,Personel!$A:$A,0)),"")</f>
        <v/>
      </c>
      <c r="D135" s="51" t="str">
        <f aca="false">IFERROR(INDEX(Personel!$C:$C,MATCH(B135,Personel!$A:$A,0)),"")</f>
        <v/>
      </c>
      <c r="E135" s="52"/>
      <c r="F135" s="53"/>
      <c r="G135" s="53"/>
      <c r="H135" s="54" t="str">
        <f aca="false">IF(OR(F135="",G135=""),"",G135-F135+1-INT((G135-F135+WEEKDAY(F135,2))/7))</f>
        <v/>
      </c>
      <c r="I135" s="50"/>
      <c r="J135" s="52"/>
      <c r="K135" s="49" t="str">
        <f aca="false">IF(F135="","",YEAR(F135))</f>
        <v/>
      </c>
      <c r="L135" s="49" t="str">
        <f aca="false">IF(F135="","",MONTH(F135))</f>
        <v/>
      </c>
    </row>
    <row r="136" customFormat="false" ht="15" hidden="false" customHeight="false" outlineLevel="0" collapsed="false">
      <c r="A136" s="49" t="str">
        <f aca="false">IF(B136="","",ROW()-5)</f>
        <v/>
      </c>
      <c r="B136" s="50"/>
      <c r="C136" s="51" t="str">
        <f aca="false">IFERROR(INDEX(Personel!$B:$B,MATCH(B136,Personel!$A:$A,0)),"")</f>
        <v/>
      </c>
      <c r="D136" s="51" t="str">
        <f aca="false">IFERROR(INDEX(Personel!$C:$C,MATCH(B136,Personel!$A:$A,0)),"")</f>
        <v/>
      </c>
      <c r="E136" s="52"/>
      <c r="F136" s="53"/>
      <c r="G136" s="53"/>
      <c r="H136" s="54" t="str">
        <f aca="false">IF(OR(F136="",G136=""),"",G136-F136+1-INT((G136-F136+WEEKDAY(F136,2))/7))</f>
        <v/>
      </c>
      <c r="I136" s="50"/>
      <c r="J136" s="52"/>
      <c r="K136" s="49" t="str">
        <f aca="false">IF(F136="","",YEAR(F136))</f>
        <v/>
      </c>
      <c r="L136" s="49" t="str">
        <f aca="false">IF(F136="","",MONTH(F136))</f>
        <v/>
      </c>
    </row>
    <row r="137" customFormat="false" ht="15" hidden="false" customHeight="false" outlineLevel="0" collapsed="false">
      <c r="A137" s="49" t="str">
        <f aca="false">IF(B137="","",ROW()-5)</f>
        <v/>
      </c>
      <c r="B137" s="50"/>
      <c r="C137" s="51" t="str">
        <f aca="false">IFERROR(INDEX(Personel!$B:$B,MATCH(B137,Personel!$A:$A,0)),"")</f>
        <v/>
      </c>
      <c r="D137" s="51" t="str">
        <f aca="false">IFERROR(INDEX(Personel!$C:$C,MATCH(B137,Personel!$A:$A,0)),"")</f>
        <v/>
      </c>
      <c r="E137" s="52"/>
      <c r="F137" s="53"/>
      <c r="G137" s="53"/>
      <c r="H137" s="54" t="str">
        <f aca="false">IF(OR(F137="",G137=""),"",G137-F137+1-INT((G137-F137+WEEKDAY(F137,2))/7))</f>
        <v/>
      </c>
      <c r="I137" s="50"/>
      <c r="J137" s="52"/>
      <c r="K137" s="49" t="str">
        <f aca="false">IF(F137="","",YEAR(F137))</f>
        <v/>
      </c>
      <c r="L137" s="49" t="str">
        <f aca="false">IF(F137="","",MONTH(F137))</f>
        <v/>
      </c>
    </row>
    <row r="138" customFormat="false" ht="15" hidden="false" customHeight="false" outlineLevel="0" collapsed="false">
      <c r="A138" s="49" t="str">
        <f aca="false">IF(B138="","",ROW()-5)</f>
        <v/>
      </c>
      <c r="B138" s="50"/>
      <c r="C138" s="51" t="str">
        <f aca="false">IFERROR(INDEX(Personel!$B:$B,MATCH(B138,Personel!$A:$A,0)),"")</f>
        <v/>
      </c>
      <c r="D138" s="51" t="str">
        <f aca="false">IFERROR(INDEX(Personel!$C:$C,MATCH(B138,Personel!$A:$A,0)),"")</f>
        <v/>
      </c>
      <c r="E138" s="52"/>
      <c r="F138" s="53"/>
      <c r="G138" s="53"/>
      <c r="H138" s="54" t="str">
        <f aca="false">IF(OR(F138="",G138=""),"",G138-F138+1-INT((G138-F138+WEEKDAY(F138,2))/7))</f>
        <v/>
      </c>
      <c r="I138" s="50"/>
      <c r="J138" s="52"/>
      <c r="K138" s="49" t="str">
        <f aca="false">IF(F138="","",YEAR(F138))</f>
        <v/>
      </c>
      <c r="L138" s="49" t="str">
        <f aca="false">IF(F138="","",MONTH(F138))</f>
        <v/>
      </c>
    </row>
    <row r="139" customFormat="false" ht="15" hidden="false" customHeight="false" outlineLevel="0" collapsed="false">
      <c r="A139" s="49" t="str">
        <f aca="false">IF(B139="","",ROW()-5)</f>
        <v/>
      </c>
      <c r="B139" s="50"/>
      <c r="C139" s="51" t="str">
        <f aca="false">IFERROR(INDEX(Personel!$B:$B,MATCH(B139,Personel!$A:$A,0)),"")</f>
        <v/>
      </c>
      <c r="D139" s="51" t="str">
        <f aca="false">IFERROR(INDEX(Personel!$C:$C,MATCH(B139,Personel!$A:$A,0)),"")</f>
        <v/>
      </c>
      <c r="E139" s="52"/>
      <c r="F139" s="53"/>
      <c r="G139" s="53"/>
      <c r="H139" s="54" t="str">
        <f aca="false">IF(OR(F139="",G139=""),"",G139-F139+1-INT((G139-F139+WEEKDAY(F139,2))/7))</f>
        <v/>
      </c>
      <c r="I139" s="50"/>
      <c r="J139" s="52"/>
      <c r="K139" s="49" t="str">
        <f aca="false">IF(F139="","",YEAR(F139))</f>
        <v/>
      </c>
      <c r="L139" s="49" t="str">
        <f aca="false">IF(F139="","",MONTH(F139))</f>
        <v/>
      </c>
    </row>
    <row r="140" customFormat="false" ht="15" hidden="false" customHeight="false" outlineLevel="0" collapsed="false">
      <c r="A140" s="49" t="str">
        <f aca="false">IF(B140="","",ROW()-5)</f>
        <v/>
      </c>
      <c r="B140" s="50"/>
      <c r="C140" s="51" t="str">
        <f aca="false">IFERROR(INDEX(Personel!$B:$B,MATCH(B140,Personel!$A:$A,0)),"")</f>
        <v/>
      </c>
      <c r="D140" s="51" t="str">
        <f aca="false">IFERROR(INDEX(Personel!$C:$C,MATCH(B140,Personel!$A:$A,0)),"")</f>
        <v/>
      </c>
      <c r="E140" s="52"/>
      <c r="F140" s="53"/>
      <c r="G140" s="53"/>
      <c r="H140" s="54" t="str">
        <f aca="false">IF(OR(F140="",G140=""),"",G140-F140+1-INT((G140-F140+WEEKDAY(F140,2))/7))</f>
        <v/>
      </c>
      <c r="I140" s="50"/>
      <c r="J140" s="52"/>
      <c r="K140" s="49" t="str">
        <f aca="false">IF(F140="","",YEAR(F140))</f>
        <v/>
      </c>
      <c r="L140" s="49" t="str">
        <f aca="false">IF(F140="","",MONTH(F140))</f>
        <v/>
      </c>
    </row>
    <row r="141" customFormat="false" ht="15" hidden="false" customHeight="false" outlineLevel="0" collapsed="false">
      <c r="A141" s="49" t="str">
        <f aca="false">IF(B141="","",ROW()-5)</f>
        <v/>
      </c>
      <c r="B141" s="50"/>
      <c r="C141" s="51" t="str">
        <f aca="false">IFERROR(INDEX(Personel!$B:$B,MATCH(B141,Personel!$A:$A,0)),"")</f>
        <v/>
      </c>
      <c r="D141" s="51" t="str">
        <f aca="false">IFERROR(INDEX(Personel!$C:$C,MATCH(B141,Personel!$A:$A,0)),"")</f>
        <v/>
      </c>
      <c r="E141" s="52"/>
      <c r="F141" s="53"/>
      <c r="G141" s="53"/>
      <c r="H141" s="54" t="str">
        <f aca="false">IF(OR(F141="",G141=""),"",G141-F141+1-INT((G141-F141+WEEKDAY(F141,2))/7))</f>
        <v/>
      </c>
      <c r="I141" s="50"/>
      <c r="J141" s="52"/>
      <c r="K141" s="49" t="str">
        <f aca="false">IF(F141="","",YEAR(F141))</f>
        <v/>
      </c>
      <c r="L141" s="49" t="str">
        <f aca="false">IF(F141="","",MONTH(F141))</f>
        <v/>
      </c>
    </row>
    <row r="142" customFormat="false" ht="15" hidden="false" customHeight="false" outlineLevel="0" collapsed="false">
      <c r="A142" s="49" t="str">
        <f aca="false">IF(B142="","",ROW()-5)</f>
        <v/>
      </c>
      <c r="B142" s="50"/>
      <c r="C142" s="51" t="str">
        <f aca="false">IFERROR(INDEX(Personel!$B:$B,MATCH(B142,Personel!$A:$A,0)),"")</f>
        <v/>
      </c>
      <c r="D142" s="51" t="str">
        <f aca="false">IFERROR(INDEX(Personel!$C:$C,MATCH(B142,Personel!$A:$A,0)),"")</f>
        <v/>
      </c>
      <c r="E142" s="52"/>
      <c r="F142" s="53"/>
      <c r="G142" s="53"/>
      <c r="H142" s="54" t="str">
        <f aca="false">IF(OR(F142="",G142=""),"",G142-F142+1-INT((G142-F142+WEEKDAY(F142,2))/7))</f>
        <v/>
      </c>
      <c r="I142" s="50"/>
      <c r="J142" s="52"/>
      <c r="K142" s="49" t="str">
        <f aca="false">IF(F142="","",YEAR(F142))</f>
        <v/>
      </c>
      <c r="L142" s="49" t="str">
        <f aca="false">IF(F142="","",MONTH(F142))</f>
        <v/>
      </c>
    </row>
    <row r="143" customFormat="false" ht="15" hidden="false" customHeight="false" outlineLevel="0" collapsed="false">
      <c r="A143" s="49" t="str">
        <f aca="false">IF(B143="","",ROW()-5)</f>
        <v/>
      </c>
      <c r="B143" s="50"/>
      <c r="C143" s="51" t="str">
        <f aca="false">IFERROR(INDEX(Personel!$B:$B,MATCH(B143,Personel!$A:$A,0)),"")</f>
        <v/>
      </c>
      <c r="D143" s="51" t="str">
        <f aca="false">IFERROR(INDEX(Personel!$C:$C,MATCH(B143,Personel!$A:$A,0)),"")</f>
        <v/>
      </c>
      <c r="E143" s="52"/>
      <c r="F143" s="53"/>
      <c r="G143" s="53"/>
      <c r="H143" s="54" t="str">
        <f aca="false">IF(OR(F143="",G143=""),"",G143-F143+1-INT((G143-F143+WEEKDAY(F143,2))/7))</f>
        <v/>
      </c>
      <c r="I143" s="50"/>
      <c r="J143" s="52"/>
      <c r="K143" s="49" t="str">
        <f aca="false">IF(F143="","",YEAR(F143))</f>
        <v/>
      </c>
      <c r="L143" s="49" t="str">
        <f aca="false">IF(F143="","",MONTH(F143))</f>
        <v/>
      </c>
    </row>
    <row r="144" customFormat="false" ht="15" hidden="false" customHeight="false" outlineLevel="0" collapsed="false">
      <c r="A144" s="49" t="str">
        <f aca="false">IF(B144="","",ROW()-5)</f>
        <v/>
      </c>
      <c r="B144" s="50"/>
      <c r="C144" s="51" t="str">
        <f aca="false">IFERROR(INDEX(Personel!$B:$B,MATCH(B144,Personel!$A:$A,0)),"")</f>
        <v/>
      </c>
      <c r="D144" s="51" t="str">
        <f aca="false">IFERROR(INDEX(Personel!$C:$C,MATCH(B144,Personel!$A:$A,0)),"")</f>
        <v/>
      </c>
      <c r="E144" s="52"/>
      <c r="F144" s="53"/>
      <c r="G144" s="53"/>
      <c r="H144" s="54" t="str">
        <f aca="false">IF(OR(F144="",G144=""),"",G144-F144+1-INT((G144-F144+WEEKDAY(F144,2))/7))</f>
        <v/>
      </c>
      <c r="I144" s="50"/>
      <c r="J144" s="52"/>
      <c r="K144" s="49" t="str">
        <f aca="false">IF(F144="","",YEAR(F144))</f>
        <v/>
      </c>
      <c r="L144" s="49" t="str">
        <f aca="false">IF(F144="","",MONTH(F144))</f>
        <v/>
      </c>
    </row>
    <row r="145" customFormat="false" ht="15" hidden="false" customHeight="false" outlineLevel="0" collapsed="false">
      <c r="A145" s="49" t="str">
        <f aca="false">IF(B145="","",ROW()-5)</f>
        <v/>
      </c>
      <c r="B145" s="50"/>
      <c r="C145" s="51" t="str">
        <f aca="false">IFERROR(INDEX(Personel!$B:$B,MATCH(B145,Personel!$A:$A,0)),"")</f>
        <v/>
      </c>
      <c r="D145" s="51" t="str">
        <f aca="false">IFERROR(INDEX(Personel!$C:$C,MATCH(B145,Personel!$A:$A,0)),"")</f>
        <v/>
      </c>
      <c r="E145" s="52"/>
      <c r="F145" s="53"/>
      <c r="G145" s="53"/>
      <c r="H145" s="54" t="str">
        <f aca="false">IF(OR(F145="",G145=""),"",G145-F145+1-INT((G145-F145+WEEKDAY(F145,2))/7))</f>
        <v/>
      </c>
      <c r="I145" s="50"/>
      <c r="J145" s="52"/>
      <c r="K145" s="49" t="str">
        <f aca="false">IF(F145="","",YEAR(F145))</f>
        <v/>
      </c>
      <c r="L145" s="49" t="str">
        <f aca="false">IF(F145="","",MONTH(F145))</f>
        <v/>
      </c>
    </row>
    <row r="146" customFormat="false" ht="15" hidden="false" customHeight="false" outlineLevel="0" collapsed="false">
      <c r="A146" s="49" t="str">
        <f aca="false">IF(B146="","",ROW()-5)</f>
        <v/>
      </c>
      <c r="B146" s="50"/>
      <c r="C146" s="51" t="str">
        <f aca="false">IFERROR(INDEX(Personel!$B:$B,MATCH(B146,Personel!$A:$A,0)),"")</f>
        <v/>
      </c>
      <c r="D146" s="51" t="str">
        <f aca="false">IFERROR(INDEX(Personel!$C:$C,MATCH(B146,Personel!$A:$A,0)),"")</f>
        <v/>
      </c>
      <c r="E146" s="52"/>
      <c r="F146" s="53"/>
      <c r="G146" s="53"/>
      <c r="H146" s="54" t="str">
        <f aca="false">IF(OR(F146="",G146=""),"",G146-F146+1-INT((G146-F146+WEEKDAY(F146,2))/7))</f>
        <v/>
      </c>
      <c r="I146" s="50"/>
      <c r="J146" s="52"/>
      <c r="K146" s="49" t="str">
        <f aca="false">IF(F146="","",YEAR(F146))</f>
        <v/>
      </c>
      <c r="L146" s="49" t="str">
        <f aca="false">IF(F146="","",MONTH(F146))</f>
        <v/>
      </c>
    </row>
    <row r="147" customFormat="false" ht="15" hidden="false" customHeight="false" outlineLevel="0" collapsed="false">
      <c r="A147" s="49" t="str">
        <f aca="false">IF(B147="","",ROW()-5)</f>
        <v/>
      </c>
      <c r="B147" s="50"/>
      <c r="C147" s="51" t="str">
        <f aca="false">IFERROR(INDEX(Personel!$B:$B,MATCH(B147,Personel!$A:$A,0)),"")</f>
        <v/>
      </c>
      <c r="D147" s="51" t="str">
        <f aca="false">IFERROR(INDEX(Personel!$C:$C,MATCH(B147,Personel!$A:$A,0)),"")</f>
        <v/>
      </c>
      <c r="E147" s="52"/>
      <c r="F147" s="53"/>
      <c r="G147" s="53"/>
      <c r="H147" s="54" t="str">
        <f aca="false">IF(OR(F147="",G147=""),"",G147-F147+1-INT((G147-F147+WEEKDAY(F147,2))/7))</f>
        <v/>
      </c>
      <c r="I147" s="50"/>
      <c r="J147" s="52"/>
      <c r="K147" s="49" t="str">
        <f aca="false">IF(F147="","",YEAR(F147))</f>
        <v/>
      </c>
      <c r="L147" s="49" t="str">
        <f aca="false">IF(F147="","",MONTH(F147))</f>
        <v/>
      </c>
    </row>
    <row r="148" customFormat="false" ht="15" hidden="false" customHeight="false" outlineLevel="0" collapsed="false">
      <c r="A148" s="49" t="str">
        <f aca="false">IF(B148="","",ROW()-5)</f>
        <v/>
      </c>
      <c r="B148" s="50"/>
      <c r="C148" s="51" t="str">
        <f aca="false">IFERROR(INDEX(Personel!$B:$B,MATCH(B148,Personel!$A:$A,0)),"")</f>
        <v/>
      </c>
      <c r="D148" s="51" t="str">
        <f aca="false">IFERROR(INDEX(Personel!$C:$C,MATCH(B148,Personel!$A:$A,0)),"")</f>
        <v/>
      </c>
      <c r="E148" s="52"/>
      <c r="F148" s="53"/>
      <c r="G148" s="53"/>
      <c r="H148" s="54" t="str">
        <f aca="false">IF(OR(F148="",G148=""),"",G148-F148+1-INT((G148-F148+WEEKDAY(F148,2))/7))</f>
        <v/>
      </c>
      <c r="I148" s="50"/>
      <c r="J148" s="52"/>
      <c r="K148" s="49" t="str">
        <f aca="false">IF(F148="","",YEAR(F148))</f>
        <v/>
      </c>
      <c r="L148" s="49" t="str">
        <f aca="false">IF(F148="","",MONTH(F148))</f>
        <v/>
      </c>
    </row>
    <row r="149" customFormat="false" ht="15" hidden="false" customHeight="false" outlineLevel="0" collapsed="false">
      <c r="A149" s="49" t="str">
        <f aca="false">IF(B149="","",ROW()-5)</f>
        <v/>
      </c>
      <c r="B149" s="50"/>
      <c r="C149" s="51" t="str">
        <f aca="false">IFERROR(INDEX(Personel!$B:$B,MATCH(B149,Personel!$A:$A,0)),"")</f>
        <v/>
      </c>
      <c r="D149" s="51" t="str">
        <f aca="false">IFERROR(INDEX(Personel!$C:$C,MATCH(B149,Personel!$A:$A,0)),"")</f>
        <v/>
      </c>
      <c r="E149" s="52"/>
      <c r="F149" s="53"/>
      <c r="G149" s="53"/>
      <c r="H149" s="54" t="str">
        <f aca="false">IF(OR(F149="",G149=""),"",G149-F149+1-INT((G149-F149+WEEKDAY(F149,2))/7))</f>
        <v/>
      </c>
      <c r="I149" s="50"/>
      <c r="J149" s="52"/>
      <c r="K149" s="49" t="str">
        <f aca="false">IF(F149="","",YEAR(F149))</f>
        <v/>
      </c>
      <c r="L149" s="49" t="str">
        <f aca="false">IF(F149="","",MONTH(F149))</f>
        <v/>
      </c>
    </row>
    <row r="150" customFormat="false" ht="15" hidden="false" customHeight="false" outlineLevel="0" collapsed="false">
      <c r="A150" s="49" t="str">
        <f aca="false">IF(B150="","",ROW()-5)</f>
        <v/>
      </c>
      <c r="B150" s="50"/>
      <c r="C150" s="51" t="str">
        <f aca="false">IFERROR(INDEX(Personel!$B:$B,MATCH(B150,Personel!$A:$A,0)),"")</f>
        <v/>
      </c>
      <c r="D150" s="51" t="str">
        <f aca="false">IFERROR(INDEX(Personel!$C:$C,MATCH(B150,Personel!$A:$A,0)),"")</f>
        <v/>
      </c>
      <c r="E150" s="52"/>
      <c r="F150" s="53"/>
      <c r="G150" s="53"/>
      <c r="H150" s="54" t="str">
        <f aca="false">IF(OR(F150="",G150=""),"",G150-F150+1-INT((G150-F150+WEEKDAY(F150,2))/7))</f>
        <v/>
      </c>
      <c r="I150" s="50"/>
      <c r="J150" s="52"/>
      <c r="K150" s="49" t="str">
        <f aca="false">IF(F150="","",YEAR(F150))</f>
        <v/>
      </c>
      <c r="L150" s="49" t="str">
        <f aca="false">IF(F150="","",MONTH(F150))</f>
        <v/>
      </c>
    </row>
    <row r="151" customFormat="false" ht="15" hidden="false" customHeight="false" outlineLevel="0" collapsed="false">
      <c r="A151" s="49" t="str">
        <f aca="false">IF(B151="","",ROW()-5)</f>
        <v/>
      </c>
      <c r="B151" s="50"/>
      <c r="C151" s="51" t="str">
        <f aca="false">IFERROR(INDEX(Personel!$B:$B,MATCH(B151,Personel!$A:$A,0)),"")</f>
        <v/>
      </c>
      <c r="D151" s="51" t="str">
        <f aca="false">IFERROR(INDEX(Personel!$C:$C,MATCH(B151,Personel!$A:$A,0)),"")</f>
        <v/>
      </c>
      <c r="E151" s="52"/>
      <c r="F151" s="53"/>
      <c r="G151" s="53"/>
      <c r="H151" s="54" t="str">
        <f aca="false">IF(OR(F151="",G151=""),"",G151-F151+1-INT((G151-F151+WEEKDAY(F151,2))/7))</f>
        <v/>
      </c>
      <c r="I151" s="50"/>
      <c r="J151" s="52"/>
      <c r="K151" s="49" t="str">
        <f aca="false">IF(F151="","",YEAR(F151))</f>
        <v/>
      </c>
      <c r="L151" s="49" t="str">
        <f aca="false">IF(F151="","",MONTH(F151))</f>
        <v/>
      </c>
    </row>
    <row r="152" customFormat="false" ht="15" hidden="false" customHeight="false" outlineLevel="0" collapsed="false">
      <c r="A152" s="49" t="str">
        <f aca="false">IF(B152="","",ROW()-5)</f>
        <v/>
      </c>
      <c r="B152" s="50"/>
      <c r="C152" s="51" t="str">
        <f aca="false">IFERROR(INDEX(Personel!$B:$B,MATCH(B152,Personel!$A:$A,0)),"")</f>
        <v/>
      </c>
      <c r="D152" s="51" t="str">
        <f aca="false">IFERROR(INDEX(Personel!$C:$C,MATCH(B152,Personel!$A:$A,0)),"")</f>
        <v/>
      </c>
      <c r="E152" s="52"/>
      <c r="F152" s="53"/>
      <c r="G152" s="53"/>
      <c r="H152" s="54" t="str">
        <f aca="false">IF(OR(F152="",G152=""),"",G152-F152+1-INT((G152-F152+WEEKDAY(F152,2))/7))</f>
        <v/>
      </c>
      <c r="I152" s="50"/>
      <c r="J152" s="52"/>
      <c r="K152" s="49" t="str">
        <f aca="false">IF(F152="","",YEAR(F152))</f>
        <v/>
      </c>
      <c r="L152" s="49" t="str">
        <f aca="false">IF(F152="","",MONTH(F152))</f>
        <v/>
      </c>
    </row>
    <row r="153" customFormat="false" ht="15" hidden="false" customHeight="false" outlineLevel="0" collapsed="false">
      <c r="A153" s="49" t="str">
        <f aca="false">IF(B153="","",ROW()-5)</f>
        <v/>
      </c>
      <c r="B153" s="50"/>
      <c r="C153" s="51" t="str">
        <f aca="false">IFERROR(INDEX(Personel!$B:$B,MATCH(B153,Personel!$A:$A,0)),"")</f>
        <v/>
      </c>
      <c r="D153" s="51" t="str">
        <f aca="false">IFERROR(INDEX(Personel!$C:$C,MATCH(B153,Personel!$A:$A,0)),"")</f>
        <v/>
      </c>
      <c r="E153" s="52"/>
      <c r="F153" s="53"/>
      <c r="G153" s="53"/>
      <c r="H153" s="54" t="str">
        <f aca="false">IF(OR(F153="",G153=""),"",G153-F153+1-INT((G153-F153+WEEKDAY(F153,2))/7))</f>
        <v/>
      </c>
      <c r="I153" s="50"/>
      <c r="J153" s="52"/>
      <c r="K153" s="49" t="str">
        <f aca="false">IF(F153="","",YEAR(F153))</f>
        <v/>
      </c>
      <c r="L153" s="49" t="str">
        <f aca="false">IF(F153="","",MONTH(F153))</f>
        <v/>
      </c>
    </row>
    <row r="154" customFormat="false" ht="15" hidden="false" customHeight="false" outlineLevel="0" collapsed="false">
      <c r="A154" s="49" t="str">
        <f aca="false">IF(B154="","",ROW()-5)</f>
        <v/>
      </c>
      <c r="B154" s="50"/>
      <c r="C154" s="51" t="str">
        <f aca="false">IFERROR(INDEX(Personel!$B:$B,MATCH(B154,Personel!$A:$A,0)),"")</f>
        <v/>
      </c>
      <c r="D154" s="51" t="str">
        <f aca="false">IFERROR(INDEX(Personel!$C:$C,MATCH(B154,Personel!$A:$A,0)),"")</f>
        <v/>
      </c>
      <c r="E154" s="52"/>
      <c r="F154" s="53"/>
      <c r="G154" s="53"/>
      <c r="H154" s="54" t="str">
        <f aca="false">IF(OR(F154="",G154=""),"",G154-F154+1-INT((G154-F154+WEEKDAY(F154,2))/7))</f>
        <v/>
      </c>
      <c r="I154" s="50"/>
      <c r="J154" s="52"/>
      <c r="K154" s="49" t="str">
        <f aca="false">IF(F154="","",YEAR(F154))</f>
        <v/>
      </c>
      <c r="L154" s="49" t="str">
        <f aca="false">IF(F154="","",MONTH(F154))</f>
        <v/>
      </c>
    </row>
    <row r="155" customFormat="false" ht="15" hidden="false" customHeight="false" outlineLevel="0" collapsed="false">
      <c r="A155" s="49" t="str">
        <f aca="false">IF(B155="","",ROW()-5)</f>
        <v/>
      </c>
      <c r="B155" s="50"/>
      <c r="C155" s="51" t="str">
        <f aca="false">IFERROR(INDEX(Personel!$B:$B,MATCH(B155,Personel!$A:$A,0)),"")</f>
        <v/>
      </c>
      <c r="D155" s="51" t="str">
        <f aca="false">IFERROR(INDEX(Personel!$C:$C,MATCH(B155,Personel!$A:$A,0)),"")</f>
        <v/>
      </c>
      <c r="E155" s="52"/>
      <c r="F155" s="53"/>
      <c r="G155" s="53"/>
      <c r="H155" s="54" t="str">
        <f aca="false">IF(OR(F155="",G155=""),"",G155-F155+1-INT((G155-F155+WEEKDAY(F155,2))/7))</f>
        <v/>
      </c>
      <c r="I155" s="50"/>
      <c r="J155" s="52"/>
      <c r="K155" s="49" t="str">
        <f aca="false">IF(F155="","",YEAR(F155))</f>
        <v/>
      </c>
      <c r="L155" s="49" t="str">
        <f aca="false">IF(F155="","",MONTH(F155))</f>
        <v/>
      </c>
    </row>
    <row r="156" customFormat="false" ht="15" hidden="false" customHeight="false" outlineLevel="0" collapsed="false">
      <c r="A156" s="49" t="str">
        <f aca="false">IF(B156="","",ROW()-5)</f>
        <v/>
      </c>
      <c r="B156" s="50"/>
      <c r="C156" s="51" t="str">
        <f aca="false">IFERROR(INDEX(Personel!$B:$B,MATCH(B156,Personel!$A:$A,0)),"")</f>
        <v/>
      </c>
      <c r="D156" s="51" t="str">
        <f aca="false">IFERROR(INDEX(Personel!$C:$C,MATCH(B156,Personel!$A:$A,0)),"")</f>
        <v/>
      </c>
      <c r="E156" s="52"/>
      <c r="F156" s="53"/>
      <c r="G156" s="53"/>
      <c r="H156" s="54" t="str">
        <f aca="false">IF(OR(F156="",G156=""),"",G156-F156+1-INT((G156-F156+WEEKDAY(F156,2))/7))</f>
        <v/>
      </c>
      <c r="I156" s="50"/>
      <c r="J156" s="52"/>
      <c r="K156" s="49" t="str">
        <f aca="false">IF(F156="","",YEAR(F156))</f>
        <v/>
      </c>
      <c r="L156" s="49" t="str">
        <f aca="false">IF(F156="","",MONTH(F156))</f>
        <v/>
      </c>
    </row>
    <row r="157" customFormat="false" ht="15" hidden="false" customHeight="false" outlineLevel="0" collapsed="false">
      <c r="A157" s="49" t="str">
        <f aca="false">IF(B157="","",ROW()-5)</f>
        <v/>
      </c>
      <c r="B157" s="50"/>
      <c r="C157" s="51" t="str">
        <f aca="false">IFERROR(INDEX(Personel!$B:$B,MATCH(B157,Personel!$A:$A,0)),"")</f>
        <v/>
      </c>
      <c r="D157" s="51" t="str">
        <f aca="false">IFERROR(INDEX(Personel!$C:$C,MATCH(B157,Personel!$A:$A,0)),"")</f>
        <v/>
      </c>
      <c r="E157" s="52"/>
      <c r="F157" s="53"/>
      <c r="G157" s="53"/>
      <c r="H157" s="54" t="str">
        <f aca="false">IF(OR(F157="",G157=""),"",G157-F157+1-INT((G157-F157+WEEKDAY(F157,2))/7))</f>
        <v/>
      </c>
      <c r="I157" s="50"/>
      <c r="J157" s="52"/>
      <c r="K157" s="49" t="str">
        <f aca="false">IF(F157="","",YEAR(F157))</f>
        <v/>
      </c>
      <c r="L157" s="49" t="str">
        <f aca="false">IF(F157="","",MONTH(F157))</f>
        <v/>
      </c>
    </row>
    <row r="158" customFormat="false" ht="15" hidden="false" customHeight="false" outlineLevel="0" collapsed="false">
      <c r="A158" s="49" t="str">
        <f aca="false">IF(B158="","",ROW()-5)</f>
        <v/>
      </c>
      <c r="B158" s="50"/>
      <c r="C158" s="51" t="str">
        <f aca="false">IFERROR(INDEX(Personel!$B:$B,MATCH(B158,Personel!$A:$A,0)),"")</f>
        <v/>
      </c>
      <c r="D158" s="51" t="str">
        <f aca="false">IFERROR(INDEX(Personel!$C:$C,MATCH(B158,Personel!$A:$A,0)),"")</f>
        <v/>
      </c>
      <c r="E158" s="52"/>
      <c r="F158" s="53"/>
      <c r="G158" s="53"/>
      <c r="H158" s="54" t="str">
        <f aca="false">IF(OR(F158="",G158=""),"",G158-F158+1-INT((G158-F158+WEEKDAY(F158,2))/7))</f>
        <v/>
      </c>
      <c r="I158" s="50"/>
      <c r="J158" s="52"/>
      <c r="K158" s="49" t="str">
        <f aca="false">IF(F158="","",YEAR(F158))</f>
        <v/>
      </c>
      <c r="L158" s="49" t="str">
        <f aca="false">IF(F158="","",MONTH(F158))</f>
        <v/>
      </c>
    </row>
    <row r="159" customFormat="false" ht="15" hidden="false" customHeight="false" outlineLevel="0" collapsed="false">
      <c r="A159" s="49" t="str">
        <f aca="false">IF(B159="","",ROW()-5)</f>
        <v/>
      </c>
      <c r="B159" s="50"/>
      <c r="C159" s="51" t="str">
        <f aca="false">IFERROR(INDEX(Personel!$B:$B,MATCH(B159,Personel!$A:$A,0)),"")</f>
        <v/>
      </c>
      <c r="D159" s="51" t="str">
        <f aca="false">IFERROR(INDEX(Personel!$C:$C,MATCH(B159,Personel!$A:$A,0)),"")</f>
        <v/>
      </c>
      <c r="E159" s="52"/>
      <c r="F159" s="53"/>
      <c r="G159" s="53"/>
      <c r="H159" s="54" t="str">
        <f aca="false">IF(OR(F159="",G159=""),"",G159-F159+1-INT((G159-F159+WEEKDAY(F159,2))/7))</f>
        <v/>
      </c>
      <c r="I159" s="50"/>
      <c r="J159" s="52"/>
      <c r="K159" s="49" t="str">
        <f aca="false">IF(F159="","",YEAR(F159))</f>
        <v/>
      </c>
      <c r="L159" s="49" t="str">
        <f aca="false">IF(F159="","",MONTH(F159))</f>
        <v/>
      </c>
    </row>
    <row r="160" customFormat="false" ht="15" hidden="false" customHeight="false" outlineLevel="0" collapsed="false">
      <c r="A160" s="49" t="str">
        <f aca="false">IF(B160="","",ROW()-5)</f>
        <v/>
      </c>
      <c r="B160" s="50"/>
      <c r="C160" s="51" t="str">
        <f aca="false">IFERROR(INDEX(Personel!$B:$B,MATCH(B160,Personel!$A:$A,0)),"")</f>
        <v/>
      </c>
      <c r="D160" s="51" t="str">
        <f aca="false">IFERROR(INDEX(Personel!$C:$C,MATCH(B160,Personel!$A:$A,0)),"")</f>
        <v/>
      </c>
      <c r="E160" s="52"/>
      <c r="F160" s="53"/>
      <c r="G160" s="53"/>
      <c r="H160" s="54" t="str">
        <f aca="false">IF(OR(F160="",G160=""),"",G160-F160+1-INT((G160-F160+WEEKDAY(F160,2))/7))</f>
        <v/>
      </c>
      <c r="I160" s="50"/>
      <c r="J160" s="52"/>
      <c r="K160" s="49" t="str">
        <f aca="false">IF(F160="","",YEAR(F160))</f>
        <v/>
      </c>
      <c r="L160" s="49" t="str">
        <f aca="false">IF(F160="","",MONTH(F160))</f>
        <v/>
      </c>
    </row>
    <row r="161" customFormat="false" ht="15" hidden="false" customHeight="false" outlineLevel="0" collapsed="false">
      <c r="A161" s="49" t="str">
        <f aca="false">IF(B161="","",ROW()-5)</f>
        <v/>
      </c>
      <c r="B161" s="50"/>
      <c r="C161" s="51" t="str">
        <f aca="false">IFERROR(INDEX(Personel!$B:$B,MATCH(B161,Personel!$A:$A,0)),"")</f>
        <v/>
      </c>
      <c r="D161" s="51" t="str">
        <f aca="false">IFERROR(INDEX(Personel!$C:$C,MATCH(B161,Personel!$A:$A,0)),"")</f>
        <v/>
      </c>
      <c r="E161" s="52"/>
      <c r="F161" s="53"/>
      <c r="G161" s="53"/>
      <c r="H161" s="54" t="str">
        <f aca="false">IF(OR(F161="",G161=""),"",G161-F161+1-INT((G161-F161+WEEKDAY(F161,2))/7))</f>
        <v/>
      </c>
      <c r="I161" s="50"/>
      <c r="J161" s="52"/>
      <c r="K161" s="49" t="str">
        <f aca="false">IF(F161="","",YEAR(F161))</f>
        <v/>
      </c>
      <c r="L161" s="49" t="str">
        <f aca="false">IF(F161="","",MONTH(F161))</f>
        <v/>
      </c>
    </row>
    <row r="162" customFormat="false" ht="15" hidden="false" customHeight="false" outlineLevel="0" collapsed="false">
      <c r="A162" s="49" t="str">
        <f aca="false">IF(B162="","",ROW()-5)</f>
        <v/>
      </c>
      <c r="B162" s="50"/>
      <c r="C162" s="51" t="str">
        <f aca="false">IFERROR(INDEX(Personel!$B:$B,MATCH(B162,Personel!$A:$A,0)),"")</f>
        <v/>
      </c>
      <c r="D162" s="51" t="str">
        <f aca="false">IFERROR(INDEX(Personel!$C:$C,MATCH(B162,Personel!$A:$A,0)),"")</f>
        <v/>
      </c>
      <c r="E162" s="52"/>
      <c r="F162" s="53"/>
      <c r="G162" s="53"/>
      <c r="H162" s="54" t="str">
        <f aca="false">IF(OR(F162="",G162=""),"",G162-F162+1-INT((G162-F162+WEEKDAY(F162,2))/7))</f>
        <v/>
      </c>
      <c r="I162" s="50"/>
      <c r="J162" s="52"/>
      <c r="K162" s="49" t="str">
        <f aca="false">IF(F162="","",YEAR(F162))</f>
        <v/>
      </c>
      <c r="L162" s="49" t="str">
        <f aca="false">IF(F162="","",MONTH(F162))</f>
        <v/>
      </c>
    </row>
    <row r="163" customFormat="false" ht="15" hidden="false" customHeight="false" outlineLevel="0" collapsed="false">
      <c r="A163" s="49" t="str">
        <f aca="false">IF(B163="","",ROW()-5)</f>
        <v/>
      </c>
      <c r="B163" s="50"/>
      <c r="C163" s="51" t="str">
        <f aca="false">IFERROR(INDEX(Personel!$B:$B,MATCH(B163,Personel!$A:$A,0)),"")</f>
        <v/>
      </c>
      <c r="D163" s="51" t="str">
        <f aca="false">IFERROR(INDEX(Personel!$C:$C,MATCH(B163,Personel!$A:$A,0)),"")</f>
        <v/>
      </c>
      <c r="E163" s="52"/>
      <c r="F163" s="53"/>
      <c r="G163" s="53"/>
      <c r="H163" s="54" t="str">
        <f aca="false">IF(OR(F163="",G163=""),"",G163-F163+1-INT((G163-F163+WEEKDAY(F163,2))/7))</f>
        <v/>
      </c>
      <c r="I163" s="50"/>
      <c r="J163" s="52"/>
      <c r="K163" s="49" t="str">
        <f aca="false">IF(F163="","",YEAR(F163))</f>
        <v/>
      </c>
      <c r="L163" s="49" t="str">
        <f aca="false">IF(F163="","",MONTH(F163))</f>
        <v/>
      </c>
    </row>
    <row r="164" customFormat="false" ht="15" hidden="false" customHeight="false" outlineLevel="0" collapsed="false">
      <c r="A164" s="49" t="str">
        <f aca="false">IF(B164="","",ROW()-5)</f>
        <v/>
      </c>
      <c r="B164" s="50"/>
      <c r="C164" s="51" t="str">
        <f aca="false">IFERROR(INDEX(Personel!$B:$B,MATCH(B164,Personel!$A:$A,0)),"")</f>
        <v/>
      </c>
      <c r="D164" s="51" t="str">
        <f aca="false">IFERROR(INDEX(Personel!$C:$C,MATCH(B164,Personel!$A:$A,0)),"")</f>
        <v/>
      </c>
      <c r="E164" s="52"/>
      <c r="F164" s="53"/>
      <c r="G164" s="53"/>
      <c r="H164" s="54" t="str">
        <f aca="false">IF(OR(F164="",G164=""),"",G164-F164+1-INT((G164-F164+WEEKDAY(F164,2))/7))</f>
        <v/>
      </c>
      <c r="I164" s="50"/>
      <c r="J164" s="52"/>
      <c r="K164" s="49" t="str">
        <f aca="false">IF(F164="","",YEAR(F164))</f>
        <v/>
      </c>
      <c r="L164" s="49" t="str">
        <f aca="false">IF(F164="","",MONTH(F164))</f>
        <v/>
      </c>
    </row>
    <row r="165" customFormat="false" ht="15" hidden="false" customHeight="false" outlineLevel="0" collapsed="false">
      <c r="A165" s="49" t="str">
        <f aca="false">IF(B165="","",ROW()-5)</f>
        <v/>
      </c>
      <c r="B165" s="50"/>
      <c r="C165" s="51" t="str">
        <f aca="false">IFERROR(INDEX(Personel!$B:$B,MATCH(B165,Personel!$A:$A,0)),"")</f>
        <v/>
      </c>
      <c r="D165" s="51" t="str">
        <f aca="false">IFERROR(INDEX(Personel!$C:$C,MATCH(B165,Personel!$A:$A,0)),"")</f>
        <v/>
      </c>
      <c r="E165" s="52"/>
      <c r="F165" s="53"/>
      <c r="G165" s="53"/>
      <c r="H165" s="54" t="str">
        <f aca="false">IF(OR(F165="",G165=""),"",G165-F165+1-INT((G165-F165+WEEKDAY(F165,2))/7))</f>
        <v/>
      </c>
      <c r="I165" s="50"/>
      <c r="J165" s="52"/>
      <c r="K165" s="49" t="str">
        <f aca="false">IF(F165="","",YEAR(F165))</f>
        <v/>
      </c>
      <c r="L165" s="49" t="str">
        <f aca="false">IF(F165="","",MONTH(F165))</f>
        <v/>
      </c>
    </row>
    <row r="166" customFormat="false" ht="15" hidden="false" customHeight="false" outlineLevel="0" collapsed="false">
      <c r="A166" s="49" t="str">
        <f aca="false">IF(B166="","",ROW()-5)</f>
        <v/>
      </c>
      <c r="B166" s="50"/>
      <c r="C166" s="51" t="str">
        <f aca="false">IFERROR(INDEX(Personel!$B:$B,MATCH(B166,Personel!$A:$A,0)),"")</f>
        <v/>
      </c>
      <c r="D166" s="51" t="str">
        <f aca="false">IFERROR(INDEX(Personel!$C:$C,MATCH(B166,Personel!$A:$A,0)),"")</f>
        <v/>
      </c>
      <c r="E166" s="52"/>
      <c r="F166" s="53"/>
      <c r="G166" s="53"/>
      <c r="H166" s="54" t="str">
        <f aca="false">IF(OR(F166="",G166=""),"",G166-F166+1-INT((G166-F166+WEEKDAY(F166,2))/7))</f>
        <v/>
      </c>
      <c r="I166" s="50"/>
      <c r="J166" s="52"/>
      <c r="K166" s="49" t="str">
        <f aca="false">IF(F166="","",YEAR(F166))</f>
        <v/>
      </c>
      <c r="L166" s="49" t="str">
        <f aca="false">IF(F166="","",MONTH(F166))</f>
        <v/>
      </c>
    </row>
    <row r="167" customFormat="false" ht="15" hidden="false" customHeight="false" outlineLevel="0" collapsed="false">
      <c r="A167" s="49" t="str">
        <f aca="false">IF(B167="","",ROW()-5)</f>
        <v/>
      </c>
      <c r="B167" s="50"/>
      <c r="C167" s="51" t="str">
        <f aca="false">IFERROR(INDEX(Personel!$B:$B,MATCH(B167,Personel!$A:$A,0)),"")</f>
        <v/>
      </c>
      <c r="D167" s="51" t="str">
        <f aca="false">IFERROR(INDEX(Personel!$C:$C,MATCH(B167,Personel!$A:$A,0)),"")</f>
        <v/>
      </c>
      <c r="E167" s="52"/>
      <c r="F167" s="53"/>
      <c r="G167" s="53"/>
      <c r="H167" s="54" t="str">
        <f aca="false">IF(OR(F167="",G167=""),"",G167-F167+1-INT((G167-F167+WEEKDAY(F167,2))/7))</f>
        <v/>
      </c>
      <c r="I167" s="50"/>
      <c r="J167" s="52"/>
      <c r="K167" s="49" t="str">
        <f aca="false">IF(F167="","",YEAR(F167))</f>
        <v/>
      </c>
      <c r="L167" s="49" t="str">
        <f aca="false">IF(F167="","",MONTH(F167))</f>
        <v/>
      </c>
    </row>
    <row r="168" customFormat="false" ht="15" hidden="false" customHeight="false" outlineLevel="0" collapsed="false">
      <c r="A168" s="49" t="str">
        <f aca="false">IF(B168="","",ROW()-5)</f>
        <v/>
      </c>
      <c r="B168" s="50"/>
      <c r="C168" s="51" t="str">
        <f aca="false">IFERROR(INDEX(Personel!$B:$B,MATCH(B168,Personel!$A:$A,0)),"")</f>
        <v/>
      </c>
      <c r="D168" s="51" t="str">
        <f aca="false">IFERROR(INDEX(Personel!$C:$C,MATCH(B168,Personel!$A:$A,0)),"")</f>
        <v/>
      </c>
      <c r="E168" s="52"/>
      <c r="F168" s="53"/>
      <c r="G168" s="53"/>
      <c r="H168" s="54" t="str">
        <f aca="false">IF(OR(F168="",G168=""),"",G168-F168+1-INT((G168-F168+WEEKDAY(F168,2))/7))</f>
        <v/>
      </c>
      <c r="I168" s="50"/>
      <c r="J168" s="52"/>
      <c r="K168" s="49" t="str">
        <f aca="false">IF(F168="","",YEAR(F168))</f>
        <v/>
      </c>
      <c r="L168" s="49" t="str">
        <f aca="false">IF(F168="","",MONTH(F168))</f>
        <v/>
      </c>
    </row>
    <row r="169" customFormat="false" ht="15" hidden="false" customHeight="false" outlineLevel="0" collapsed="false">
      <c r="A169" s="49" t="str">
        <f aca="false">IF(B169="","",ROW()-5)</f>
        <v/>
      </c>
      <c r="B169" s="50"/>
      <c r="C169" s="51" t="str">
        <f aca="false">IFERROR(INDEX(Personel!$B:$B,MATCH(B169,Personel!$A:$A,0)),"")</f>
        <v/>
      </c>
      <c r="D169" s="51" t="str">
        <f aca="false">IFERROR(INDEX(Personel!$C:$C,MATCH(B169,Personel!$A:$A,0)),"")</f>
        <v/>
      </c>
      <c r="E169" s="52"/>
      <c r="F169" s="53"/>
      <c r="G169" s="53"/>
      <c r="H169" s="54" t="str">
        <f aca="false">IF(OR(F169="",G169=""),"",G169-F169+1-INT((G169-F169+WEEKDAY(F169,2))/7))</f>
        <v/>
      </c>
      <c r="I169" s="50"/>
      <c r="J169" s="52"/>
      <c r="K169" s="49" t="str">
        <f aca="false">IF(F169="","",YEAR(F169))</f>
        <v/>
      </c>
      <c r="L169" s="49" t="str">
        <f aca="false">IF(F169="","",MONTH(F169))</f>
        <v/>
      </c>
    </row>
    <row r="170" customFormat="false" ht="15" hidden="false" customHeight="false" outlineLevel="0" collapsed="false">
      <c r="A170" s="49" t="str">
        <f aca="false">IF(B170="","",ROW()-5)</f>
        <v/>
      </c>
      <c r="B170" s="50"/>
      <c r="C170" s="51" t="str">
        <f aca="false">IFERROR(INDEX(Personel!$B:$B,MATCH(B170,Personel!$A:$A,0)),"")</f>
        <v/>
      </c>
      <c r="D170" s="51" t="str">
        <f aca="false">IFERROR(INDEX(Personel!$C:$C,MATCH(B170,Personel!$A:$A,0)),"")</f>
        <v/>
      </c>
      <c r="E170" s="52"/>
      <c r="F170" s="53"/>
      <c r="G170" s="53"/>
      <c r="H170" s="54" t="str">
        <f aca="false">IF(OR(F170="",G170=""),"",G170-F170+1-INT((G170-F170+WEEKDAY(F170,2))/7))</f>
        <v/>
      </c>
      <c r="I170" s="50"/>
      <c r="J170" s="52"/>
      <c r="K170" s="49" t="str">
        <f aca="false">IF(F170="","",YEAR(F170))</f>
        <v/>
      </c>
      <c r="L170" s="49" t="str">
        <f aca="false">IF(F170="","",MONTH(F170))</f>
        <v/>
      </c>
    </row>
    <row r="171" customFormat="false" ht="15" hidden="false" customHeight="false" outlineLevel="0" collapsed="false">
      <c r="A171" s="49" t="str">
        <f aca="false">IF(B171="","",ROW()-5)</f>
        <v/>
      </c>
      <c r="B171" s="50"/>
      <c r="C171" s="51" t="str">
        <f aca="false">IFERROR(INDEX(Personel!$B:$B,MATCH(B171,Personel!$A:$A,0)),"")</f>
        <v/>
      </c>
      <c r="D171" s="51" t="str">
        <f aca="false">IFERROR(INDEX(Personel!$C:$C,MATCH(B171,Personel!$A:$A,0)),"")</f>
        <v/>
      </c>
      <c r="E171" s="52"/>
      <c r="F171" s="53"/>
      <c r="G171" s="53"/>
      <c r="H171" s="54" t="str">
        <f aca="false">IF(OR(F171="",G171=""),"",G171-F171+1-INT((G171-F171+WEEKDAY(F171,2))/7))</f>
        <v/>
      </c>
      <c r="I171" s="50"/>
      <c r="J171" s="52"/>
      <c r="K171" s="49" t="str">
        <f aca="false">IF(F171="","",YEAR(F171))</f>
        <v/>
      </c>
      <c r="L171" s="49" t="str">
        <f aca="false">IF(F171="","",MONTH(F171))</f>
        <v/>
      </c>
    </row>
    <row r="172" customFormat="false" ht="15" hidden="false" customHeight="false" outlineLevel="0" collapsed="false">
      <c r="A172" s="49" t="str">
        <f aca="false">IF(B172="","",ROW()-5)</f>
        <v/>
      </c>
      <c r="B172" s="50"/>
      <c r="C172" s="51" t="str">
        <f aca="false">IFERROR(INDEX(Personel!$B:$B,MATCH(B172,Personel!$A:$A,0)),"")</f>
        <v/>
      </c>
      <c r="D172" s="51" t="str">
        <f aca="false">IFERROR(INDEX(Personel!$C:$C,MATCH(B172,Personel!$A:$A,0)),"")</f>
        <v/>
      </c>
      <c r="E172" s="52"/>
      <c r="F172" s="53"/>
      <c r="G172" s="53"/>
      <c r="H172" s="54" t="str">
        <f aca="false">IF(OR(F172="",G172=""),"",G172-F172+1-INT((G172-F172+WEEKDAY(F172,2))/7))</f>
        <v/>
      </c>
      <c r="I172" s="50"/>
      <c r="J172" s="52"/>
      <c r="K172" s="49" t="str">
        <f aca="false">IF(F172="","",YEAR(F172))</f>
        <v/>
      </c>
      <c r="L172" s="49" t="str">
        <f aca="false">IF(F172="","",MONTH(F172))</f>
        <v/>
      </c>
    </row>
    <row r="173" customFormat="false" ht="15" hidden="false" customHeight="false" outlineLevel="0" collapsed="false">
      <c r="A173" s="49" t="str">
        <f aca="false">IF(B173="","",ROW()-5)</f>
        <v/>
      </c>
      <c r="B173" s="50"/>
      <c r="C173" s="51" t="str">
        <f aca="false">IFERROR(INDEX(Personel!$B:$B,MATCH(B173,Personel!$A:$A,0)),"")</f>
        <v/>
      </c>
      <c r="D173" s="51" t="str">
        <f aca="false">IFERROR(INDEX(Personel!$C:$C,MATCH(B173,Personel!$A:$A,0)),"")</f>
        <v/>
      </c>
      <c r="E173" s="52"/>
      <c r="F173" s="53"/>
      <c r="G173" s="53"/>
      <c r="H173" s="54" t="str">
        <f aca="false">IF(OR(F173="",G173=""),"",G173-F173+1-INT((G173-F173+WEEKDAY(F173,2))/7))</f>
        <v/>
      </c>
      <c r="I173" s="50"/>
      <c r="J173" s="52"/>
      <c r="K173" s="49" t="str">
        <f aca="false">IF(F173="","",YEAR(F173))</f>
        <v/>
      </c>
      <c r="L173" s="49" t="str">
        <f aca="false">IF(F173="","",MONTH(F173))</f>
        <v/>
      </c>
    </row>
    <row r="174" customFormat="false" ht="15" hidden="false" customHeight="false" outlineLevel="0" collapsed="false">
      <c r="A174" s="49" t="str">
        <f aca="false">IF(B174="","",ROW()-5)</f>
        <v/>
      </c>
      <c r="B174" s="50"/>
      <c r="C174" s="51" t="str">
        <f aca="false">IFERROR(INDEX(Personel!$B:$B,MATCH(B174,Personel!$A:$A,0)),"")</f>
        <v/>
      </c>
      <c r="D174" s="51" t="str">
        <f aca="false">IFERROR(INDEX(Personel!$C:$C,MATCH(B174,Personel!$A:$A,0)),"")</f>
        <v/>
      </c>
      <c r="E174" s="52"/>
      <c r="F174" s="53"/>
      <c r="G174" s="53"/>
      <c r="H174" s="54" t="str">
        <f aca="false">IF(OR(F174="",G174=""),"",G174-F174+1-INT((G174-F174+WEEKDAY(F174,2))/7))</f>
        <v/>
      </c>
      <c r="I174" s="50"/>
      <c r="J174" s="52"/>
      <c r="K174" s="49" t="str">
        <f aca="false">IF(F174="","",YEAR(F174))</f>
        <v/>
      </c>
      <c r="L174" s="49" t="str">
        <f aca="false">IF(F174="","",MONTH(F174))</f>
        <v/>
      </c>
    </row>
    <row r="175" customFormat="false" ht="15" hidden="false" customHeight="false" outlineLevel="0" collapsed="false">
      <c r="A175" s="49" t="str">
        <f aca="false">IF(B175="","",ROW()-5)</f>
        <v/>
      </c>
      <c r="B175" s="50"/>
      <c r="C175" s="51" t="str">
        <f aca="false">IFERROR(INDEX(Personel!$B:$B,MATCH(B175,Personel!$A:$A,0)),"")</f>
        <v/>
      </c>
      <c r="D175" s="51" t="str">
        <f aca="false">IFERROR(INDEX(Personel!$C:$C,MATCH(B175,Personel!$A:$A,0)),"")</f>
        <v/>
      </c>
      <c r="E175" s="52"/>
      <c r="F175" s="53"/>
      <c r="G175" s="53"/>
      <c r="H175" s="54" t="str">
        <f aca="false">IF(OR(F175="",G175=""),"",G175-F175+1-INT((G175-F175+WEEKDAY(F175,2))/7))</f>
        <v/>
      </c>
      <c r="I175" s="50"/>
      <c r="J175" s="52"/>
      <c r="K175" s="49" t="str">
        <f aca="false">IF(F175="","",YEAR(F175))</f>
        <v/>
      </c>
      <c r="L175" s="49" t="str">
        <f aca="false">IF(F175="","",MONTH(F175))</f>
        <v/>
      </c>
    </row>
    <row r="176" customFormat="false" ht="15" hidden="false" customHeight="false" outlineLevel="0" collapsed="false">
      <c r="A176" s="49" t="str">
        <f aca="false">IF(B176="","",ROW()-5)</f>
        <v/>
      </c>
      <c r="B176" s="50"/>
      <c r="C176" s="51" t="str">
        <f aca="false">IFERROR(INDEX(Personel!$B:$B,MATCH(B176,Personel!$A:$A,0)),"")</f>
        <v/>
      </c>
      <c r="D176" s="51" t="str">
        <f aca="false">IFERROR(INDEX(Personel!$C:$C,MATCH(B176,Personel!$A:$A,0)),"")</f>
        <v/>
      </c>
      <c r="E176" s="52"/>
      <c r="F176" s="53"/>
      <c r="G176" s="53"/>
      <c r="H176" s="54" t="str">
        <f aca="false">IF(OR(F176="",G176=""),"",G176-F176+1-INT((G176-F176+WEEKDAY(F176,2))/7))</f>
        <v/>
      </c>
      <c r="I176" s="50"/>
      <c r="J176" s="52"/>
      <c r="K176" s="49" t="str">
        <f aca="false">IF(F176="","",YEAR(F176))</f>
        <v/>
      </c>
      <c r="L176" s="49" t="str">
        <f aca="false">IF(F176="","",MONTH(F176))</f>
        <v/>
      </c>
    </row>
    <row r="177" customFormat="false" ht="15" hidden="false" customHeight="false" outlineLevel="0" collapsed="false">
      <c r="A177" s="49" t="str">
        <f aca="false">IF(B177="","",ROW()-5)</f>
        <v/>
      </c>
      <c r="B177" s="50"/>
      <c r="C177" s="51" t="str">
        <f aca="false">IFERROR(INDEX(Personel!$B:$B,MATCH(B177,Personel!$A:$A,0)),"")</f>
        <v/>
      </c>
      <c r="D177" s="51" t="str">
        <f aca="false">IFERROR(INDEX(Personel!$C:$C,MATCH(B177,Personel!$A:$A,0)),"")</f>
        <v/>
      </c>
      <c r="E177" s="52"/>
      <c r="F177" s="53"/>
      <c r="G177" s="53"/>
      <c r="H177" s="54" t="str">
        <f aca="false">IF(OR(F177="",G177=""),"",G177-F177+1-INT((G177-F177+WEEKDAY(F177,2))/7))</f>
        <v/>
      </c>
      <c r="I177" s="50"/>
      <c r="J177" s="52"/>
      <c r="K177" s="49" t="str">
        <f aca="false">IF(F177="","",YEAR(F177))</f>
        <v/>
      </c>
      <c r="L177" s="49" t="str">
        <f aca="false">IF(F177="","",MONTH(F177))</f>
        <v/>
      </c>
    </row>
    <row r="178" customFormat="false" ht="15" hidden="false" customHeight="false" outlineLevel="0" collapsed="false">
      <c r="A178" s="49" t="str">
        <f aca="false">IF(B178="","",ROW()-5)</f>
        <v/>
      </c>
      <c r="B178" s="50"/>
      <c r="C178" s="51" t="str">
        <f aca="false">IFERROR(INDEX(Personel!$B:$B,MATCH(B178,Personel!$A:$A,0)),"")</f>
        <v/>
      </c>
      <c r="D178" s="51" t="str">
        <f aca="false">IFERROR(INDEX(Personel!$C:$C,MATCH(B178,Personel!$A:$A,0)),"")</f>
        <v/>
      </c>
      <c r="E178" s="52"/>
      <c r="F178" s="53"/>
      <c r="G178" s="53"/>
      <c r="H178" s="54" t="str">
        <f aca="false">IF(OR(F178="",G178=""),"",G178-F178+1-INT((G178-F178+WEEKDAY(F178,2))/7))</f>
        <v/>
      </c>
      <c r="I178" s="50"/>
      <c r="J178" s="52"/>
      <c r="K178" s="49" t="str">
        <f aca="false">IF(F178="","",YEAR(F178))</f>
        <v/>
      </c>
      <c r="L178" s="49" t="str">
        <f aca="false">IF(F178="","",MONTH(F178))</f>
        <v/>
      </c>
    </row>
    <row r="179" customFormat="false" ht="15" hidden="false" customHeight="false" outlineLevel="0" collapsed="false">
      <c r="A179" s="49" t="str">
        <f aca="false">IF(B179="","",ROW()-5)</f>
        <v/>
      </c>
      <c r="B179" s="50"/>
      <c r="C179" s="51" t="str">
        <f aca="false">IFERROR(INDEX(Personel!$B:$B,MATCH(B179,Personel!$A:$A,0)),"")</f>
        <v/>
      </c>
      <c r="D179" s="51" t="str">
        <f aca="false">IFERROR(INDEX(Personel!$C:$C,MATCH(B179,Personel!$A:$A,0)),"")</f>
        <v/>
      </c>
      <c r="E179" s="52"/>
      <c r="F179" s="53"/>
      <c r="G179" s="53"/>
      <c r="H179" s="54" t="str">
        <f aca="false">IF(OR(F179="",G179=""),"",G179-F179+1-INT((G179-F179+WEEKDAY(F179,2))/7))</f>
        <v/>
      </c>
      <c r="I179" s="50"/>
      <c r="J179" s="52"/>
      <c r="K179" s="49" t="str">
        <f aca="false">IF(F179="","",YEAR(F179))</f>
        <v/>
      </c>
      <c r="L179" s="49" t="str">
        <f aca="false">IF(F179="","",MONTH(F179))</f>
        <v/>
      </c>
    </row>
    <row r="180" customFormat="false" ht="15" hidden="false" customHeight="false" outlineLevel="0" collapsed="false">
      <c r="A180" s="49" t="str">
        <f aca="false">IF(B180="","",ROW()-5)</f>
        <v/>
      </c>
      <c r="B180" s="50"/>
      <c r="C180" s="51" t="str">
        <f aca="false">IFERROR(INDEX(Personel!$B:$B,MATCH(B180,Personel!$A:$A,0)),"")</f>
        <v/>
      </c>
      <c r="D180" s="51" t="str">
        <f aca="false">IFERROR(INDEX(Personel!$C:$C,MATCH(B180,Personel!$A:$A,0)),"")</f>
        <v/>
      </c>
      <c r="E180" s="52"/>
      <c r="F180" s="53"/>
      <c r="G180" s="53"/>
      <c r="H180" s="54" t="str">
        <f aca="false">IF(OR(F180="",G180=""),"",G180-F180+1-INT((G180-F180+WEEKDAY(F180,2))/7))</f>
        <v/>
      </c>
      <c r="I180" s="50"/>
      <c r="J180" s="52"/>
      <c r="K180" s="49" t="str">
        <f aca="false">IF(F180="","",YEAR(F180))</f>
        <v/>
      </c>
      <c r="L180" s="49" t="str">
        <f aca="false">IF(F180="","",MONTH(F180))</f>
        <v/>
      </c>
    </row>
    <row r="181" customFormat="false" ht="15" hidden="false" customHeight="false" outlineLevel="0" collapsed="false">
      <c r="A181" s="49" t="str">
        <f aca="false">IF(B181="","",ROW()-5)</f>
        <v/>
      </c>
      <c r="B181" s="50"/>
      <c r="C181" s="51" t="str">
        <f aca="false">IFERROR(INDEX(Personel!$B:$B,MATCH(B181,Personel!$A:$A,0)),"")</f>
        <v/>
      </c>
      <c r="D181" s="51" t="str">
        <f aca="false">IFERROR(INDEX(Personel!$C:$C,MATCH(B181,Personel!$A:$A,0)),"")</f>
        <v/>
      </c>
      <c r="E181" s="52"/>
      <c r="F181" s="53"/>
      <c r="G181" s="53"/>
      <c r="H181" s="54" t="str">
        <f aca="false">IF(OR(F181="",G181=""),"",G181-F181+1-INT((G181-F181+WEEKDAY(F181,2))/7))</f>
        <v/>
      </c>
      <c r="I181" s="50"/>
      <c r="J181" s="52"/>
      <c r="K181" s="49" t="str">
        <f aca="false">IF(F181="","",YEAR(F181))</f>
        <v/>
      </c>
      <c r="L181" s="49" t="str">
        <f aca="false">IF(F181="","",MONTH(F181))</f>
        <v/>
      </c>
    </row>
    <row r="182" customFormat="false" ht="15" hidden="false" customHeight="false" outlineLevel="0" collapsed="false">
      <c r="A182" s="49" t="str">
        <f aca="false">IF(B182="","",ROW()-5)</f>
        <v/>
      </c>
      <c r="B182" s="50"/>
      <c r="C182" s="51" t="str">
        <f aca="false">IFERROR(INDEX(Personel!$B:$B,MATCH(B182,Personel!$A:$A,0)),"")</f>
        <v/>
      </c>
      <c r="D182" s="51" t="str">
        <f aca="false">IFERROR(INDEX(Personel!$C:$C,MATCH(B182,Personel!$A:$A,0)),"")</f>
        <v/>
      </c>
      <c r="E182" s="52"/>
      <c r="F182" s="53"/>
      <c r="G182" s="53"/>
      <c r="H182" s="54" t="str">
        <f aca="false">IF(OR(F182="",G182=""),"",G182-F182+1-INT((G182-F182+WEEKDAY(F182,2))/7))</f>
        <v/>
      </c>
      <c r="I182" s="50"/>
      <c r="J182" s="52"/>
      <c r="K182" s="49" t="str">
        <f aca="false">IF(F182="","",YEAR(F182))</f>
        <v/>
      </c>
      <c r="L182" s="49" t="str">
        <f aca="false">IF(F182="","",MONTH(F182))</f>
        <v/>
      </c>
    </row>
    <row r="183" customFormat="false" ht="15" hidden="false" customHeight="false" outlineLevel="0" collapsed="false">
      <c r="A183" s="49" t="str">
        <f aca="false">IF(B183="","",ROW()-5)</f>
        <v/>
      </c>
      <c r="B183" s="50"/>
      <c r="C183" s="51" t="str">
        <f aca="false">IFERROR(INDEX(Personel!$B:$B,MATCH(B183,Personel!$A:$A,0)),"")</f>
        <v/>
      </c>
      <c r="D183" s="51" t="str">
        <f aca="false">IFERROR(INDEX(Personel!$C:$C,MATCH(B183,Personel!$A:$A,0)),"")</f>
        <v/>
      </c>
      <c r="E183" s="52"/>
      <c r="F183" s="53"/>
      <c r="G183" s="53"/>
      <c r="H183" s="54" t="str">
        <f aca="false">IF(OR(F183="",G183=""),"",G183-F183+1-INT((G183-F183+WEEKDAY(F183,2))/7))</f>
        <v/>
      </c>
      <c r="I183" s="50"/>
      <c r="J183" s="52"/>
      <c r="K183" s="49" t="str">
        <f aca="false">IF(F183="","",YEAR(F183))</f>
        <v/>
      </c>
      <c r="L183" s="49" t="str">
        <f aca="false">IF(F183="","",MONTH(F183))</f>
        <v/>
      </c>
    </row>
    <row r="184" customFormat="false" ht="15" hidden="false" customHeight="false" outlineLevel="0" collapsed="false">
      <c r="A184" s="49" t="str">
        <f aca="false">IF(B184="","",ROW()-5)</f>
        <v/>
      </c>
      <c r="B184" s="50"/>
      <c r="C184" s="51" t="str">
        <f aca="false">IFERROR(INDEX(Personel!$B:$B,MATCH(B184,Personel!$A:$A,0)),"")</f>
        <v/>
      </c>
      <c r="D184" s="51" t="str">
        <f aca="false">IFERROR(INDEX(Personel!$C:$C,MATCH(B184,Personel!$A:$A,0)),"")</f>
        <v/>
      </c>
      <c r="E184" s="52"/>
      <c r="F184" s="53"/>
      <c r="G184" s="53"/>
      <c r="H184" s="54" t="str">
        <f aca="false">IF(OR(F184="",G184=""),"",G184-F184+1-INT((G184-F184+WEEKDAY(F184,2))/7))</f>
        <v/>
      </c>
      <c r="I184" s="50"/>
      <c r="J184" s="52"/>
      <c r="K184" s="49" t="str">
        <f aca="false">IF(F184="","",YEAR(F184))</f>
        <v/>
      </c>
      <c r="L184" s="49" t="str">
        <f aca="false">IF(F184="","",MONTH(F184))</f>
        <v/>
      </c>
    </row>
    <row r="185" customFormat="false" ht="15" hidden="false" customHeight="false" outlineLevel="0" collapsed="false">
      <c r="A185" s="49" t="str">
        <f aca="false">IF(B185="","",ROW()-5)</f>
        <v/>
      </c>
      <c r="B185" s="50"/>
      <c r="C185" s="51" t="str">
        <f aca="false">IFERROR(INDEX(Personel!$B:$B,MATCH(B185,Personel!$A:$A,0)),"")</f>
        <v/>
      </c>
      <c r="D185" s="51" t="str">
        <f aca="false">IFERROR(INDEX(Personel!$C:$C,MATCH(B185,Personel!$A:$A,0)),"")</f>
        <v/>
      </c>
      <c r="E185" s="52"/>
      <c r="F185" s="53"/>
      <c r="G185" s="53"/>
      <c r="H185" s="54" t="str">
        <f aca="false">IF(OR(F185="",G185=""),"",G185-F185+1-INT((G185-F185+WEEKDAY(F185,2))/7))</f>
        <v/>
      </c>
      <c r="I185" s="50"/>
      <c r="J185" s="52"/>
      <c r="K185" s="49" t="str">
        <f aca="false">IF(F185="","",YEAR(F185))</f>
        <v/>
      </c>
      <c r="L185" s="49" t="str">
        <f aca="false">IF(F185="","",MONTH(F185))</f>
        <v/>
      </c>
    </row>
    <row r="186" customFormat="false" ht="15" hidden="false" customHeight="false" outlineLevel="0" collapsed="false">
      <c r="A186" s="49" t="str">
        <f aca="false">IF(B186="","",ROW()-5)</f>
        <v/>
      </c>
      <c r="B186" s="50"/>
      <c r="C186" s="51" t="str">
        <f aca="false">IFERROR(INDEX(Personel!$B:$B,MATCH(B186,Personel!$A:$A,0)),"")</f>
        <v/>
      </c>
      <c r="D186" s="51" t="str">
        <f aca="false">IFERROR(INDEX(Personel!$C:$C,MATCH(B186,Personel!$A:$A,0)),"")</f>
        <v/>
      </c>
      <c r="E186" s="52"/>
      <c r="F186" s="53"/>
      <c r="G186" s="53"/>
      <c r="H186" s="54" t="str">
        <f aca="false">IF(OR(F186="",G186=""),"",G186-F186+1-INT((G186-F186+WEEKDAY(F186,2))/7))</f>
        <v/>
      </c>
      <c r="I186" s="50"/>
      <c r="J186" s="52"/>
      <c r="K186" s="49" t="str">
        <f aca="false">IF(F186="","",YEAR(F186))</f>
        <v/>
      </c>
      <c r="L186" s="49" t="str">
        <f aca="false">IF(F186="","",MONTH(F186))</f>
        <v/>
      </c>
    </row>
    <row r="187" customFormat="false" ht="15" hidden="false" customHeight="false" outlineLevel="0" collapsed="false">
      <c r="A187" s="49" t="str">
        <f aca="false">IF(B187="","",ROW()-5)</f>
        <v/>
      </c>
      <c r="B187" s="50"/>
      <c r="C187" s="51" t="str">
        <f aca="false">IFERROR(INDEX(Personel!$B:$B,MATCH(B187,Personel!$A:$A,0)),"")</f>
        <v/>
      </c>
      <c r="D187" s="51" t="str">
        <f aca="false">IFERROR(INDEX(Personel!$C:$C,MATCH(B187,Personel!$A:$A,0)),"")</f>
        <v/>
      </c>
      <c r="E187" s="52"/>
      <c r="F187" s="53"/>
      <c r="G187" s="53"/>
      <c r="H187" s="54" t="str">
        <f aca="false">IF(OR(F187="",G187=""),"",G187-F187+1-INT((G187-F187+WEEKDAY(F187,2))/7))</f>
        <v/>
      </c>
      <c r="I187" s="50"/>
      <c r="J187" s="52"/>
      <c r="K187" s="49" t="str">
        <f aca="false">IF(F187="","",YEAR(F187))</f>
        <v/>
      </c>
      <c r="L187" s="49" t="str">
        <f aca="false">IF(F187="","",MONTH(F187))</f>
        <v/>
      </c>
    </row>
    <row r="188" customFormat="false" ht="15" hidden="false" customHeight="false" outlineLevel="0" collapsed="false">
      <c r="A188" s="49" t="str">
        <f aca="false">IF(B188="","",ROW()-5)</f>
        <v/>
      </c>
      <c r="B188" s="50"/>
      <c r="C188" s="51" t="str">
        <f aca="false">IFERROR(INDEX(Personel!$B:$B,MATCH(B188,Personel!$A:$A,0)),"")</f>
        <v/>
      </c>
      <c r="D188" s="51" t="str">
        <f aca="false">IFERROR(INDEX(Personel!$C:$C,MATCH(B188,Personel!$A:$A,0)),"")</f>
        <v/>
      </c>
      <c r="E188" s="52"/>
      <c r="F188" s="53"/>
      <c r="G188" s="53"/>
      <c r="H188" s="54" t="str">
        <f aca="false">IF(OR(F188="",G188=""),"",G188-F188+1-INT((G188-F188+WEEKDAY(F188,2))/7))</f>
        <v/>
      </c>
      <c r="I188" s="50"/>
      <c r="J188" s="52"/>
      <c r="K188" s="49" t="str">
        <f aca="false">IF(F188="","",YEAR(F188))</f>
        <v/>
      </c>
      <c r="L188" s="49" t="str">
        <f aca="false">IF(F188="","",MONTH(F188))</f>
        <v/>
      </c>
    </row>
    <row r="189" customFormat="false" ht="15" hidden="false" customHeight="false" outlineLevel="0" collapsed="false">
      <c r="A189" s="49" t="str">
        <f aca="false">IF(B189="","",ROW()-5)</f>
        <v/>
      </c>
      <c r="B189" s="50"/>
      <c r="C189" s="51" t="str">
        <f aca="false">IFERROR(INDEX(Personel!$B:$B,MATCH(B189,Personel!$A:$A,0)),"")</f>
        <v/>
      </c>
      <c r="D189" s="51" t="str">
        <f aca="false">IFERROR(INDEX(Personel!$C:$C,MATCH(B189,Personel!$A:$A,0)),"")</f>
        <v/>
      </c>
      <c r="E189" s="52"/>
      <c r="F189" s="53"/>
      <c r="G189" s="53"/>
      <c r="H189" s="54" t="str">
        <f aca="false">IF(OR(F189="",G189=""),"",G189-F189+1-INT((G189-F189+WEEKDAY(F189,2))/7))</f>
        <v/>
      </c>
      <c r="I189" s="50"/>
      <c r="J189" s="52"/>
      <c r="K189" s="49" t="str">
        <f aca="false">IF(F189="","",YEAR(F189))</f>
        <v/>
      </c>
      <c r="L189" s="49" t="str">
        <f aca="false">IF(F189="","",MONTH(F189))</f>
        <v/>
      </c>
    </row>
    <row r="190" customFormat="false" ht="15" hidden="false" customHeight="false" outlineLevel="0" collapsed="false">
      <c r="A190" s="49" t="str">
        <f aca="false">IF(B190="","",ROW()-5)</f>
        <v/>
      </c>
      <c r="B190" s="50"/>
      <c r="C190" s="51" t="str">
        <f aca="false">IFERROR(INDEX(Personel!$B:$B,MATCH(B190,Personel!$A:$A,0)),"")</f>
        <v/>
      </c>
      <c r="D190" s="51" t="str">
        <f aca="false">IFERROR(INDEX(Personel!$C:$C,MATCH(B190,Personel!$A:$A,0)),"")</f>
        <v/>
      </c>
      <c r="E190" s="52"/>
      <c r="F190" s="53"/>
      <c r="G190" s="53"/>
      <c r="H190" s="54" t="str">
        <f aca="false">IF(OR(F190="",G190=""),"",G190-F190+1-INT((G190-F190+WEEKDAY(F190,2))/7))</f>
        <v/>
      </c>
      <c r="I190" s="50"/>
      <c r="J190" s="52"/>
      <c r="K190" s="49" t="str">
        <f aca="false">IF(F190="","",YEAR(F190))</f>
        <v/>
      </c>
      <c r="L190" s="49" t="str">
        <f aca="false">IF(F190="","",MONTH(F190))</f>
        <v/>
      </c>
    </row>
    <row r="191" customFormat="false" ht="15" hidden="false" customHeight="false" outlineLevel="0" collapsed="false">
      <c r="A191" s="49" t="str">
        <f aca="false">IF(B191="","",ROW()-5)</f>
        <v/>
      </c>
      <c r="B191" s="50"/>
      <c r="C191" s="51" t="str">
        <f aca="false">IFERROR(INDEX(Personel!$B:$B,MATCH(B191,Personel!$A:$A,0)),"")</f>
        <v/>
      </c>
      <c r="D191" s="51" t="str">
        <f aca="false">IFERROR(INDEX(Personel!$C:$C,MATCH(B191,Personel!$A:$A,0)),"")</f>
        <v/>
      </c>
      <c r="E191" s="52"/>
      <c r="F191" s="53"/>
      <c r="G191" s="53"/>
      <c r="H191" s="54" t="str">
        <f aca="false">IF(OR(F191="",G191=""),"",G191-F191+1-INT((G191-F191+WEEKDAY(F191,2))/7))</f>
        <v/>
      </c>
      <c r="I191" s="50"/>
      <c r="J191" s="52"/>
      <c r="K191" s="49" t="str">
        <f aca="false">IF(F191="","",YEAR(F191))</f>
        <v/>
      </c>
      <c r="L191" s="49" t="str">
        <f aca="false">IF(F191="","",MONTH(F191))</f>
        <v/>
      </c>
    </row>
    <row r="192" customFormat="false" ht="15" hidden="false" customHeight="false" outlineLevel="0" collapsed="false">
      <c r="A192" s="49" t="str">
        <f aca="false">IF(B192="","",ROW()-5)</f>
        <v/>
      </c>
      <c r="B192" s="50"/>
      <c r="C192" s="51" t="str">
        <f aca="false">IFERROR(INDEX(Personel!$B:$B,MATCH(B192,Personel!$A:$A,0)),"")</f>
        <v/>
      </c>
      <c r="D192" s="51" t="str">
        <f aca="false">IFERROR(INDEX(Personel!$C:$C,MATCH(B192,Personel!$A:$A,0)),"")</f>
        <v/>
      </c>
      <c r="E192" s="52"/>
      <c r="F192" s="53"/>
      <c r="G192" s="53"/>
      <c r="H192" s="54" t="str">
        <f aca="false">IF(OR(F192="",G192=""),"",G192-F192+1-INT((G192-F192+WEEKDAY(F192,2))/7))</f>
        <v/>
      </c>
      <c r="I192" s="50"/>
      <c r="J192" s="52"/>
      <c r="K192" s="49" t="str">
        <f aca="false">IF(F192="","",YEAR(F192))</f>
        <v/>
      </c>
      <c r="L192" s="49" t="str">
        <f aca="false">IF(F192="","",MONTH(F192))</f>
        <v/>
      </c>
    </row>
    <row r="193" customFormat="false" ht="15" hidden="false" customHeight="false" outlineLevel="0" collapsed="false">
      <c r="A193" s="49" t="str">
        <f aca="false">IF(B193="","",ROW()-5)</f>
        <v/>
      </c>
      <c r="B193" s="50"/>
      <c r="C193" s="51" t="str">
        <f aca="false">IFERROR(INDEX(Personel!$B:$B,MATCH(B193,Personel!$A:$A,0)),"")</f>
        <v/>
      </c>
      <c r="D193" s="51" t="str">
        <f aca="false">IFERROR(INDEX(Personel!$C:$C,MATCH(B193,Personel!$A:$A,0)),"")</f>
        <v/>
      </c>
      <c r="E193" s="52"/>
      <c r="F193" s="53"/>
      <c r="G193" s="53"/>
      <c r="H193" s="54" t="str">
        <f aca="false">IF(OR(F193="",G193=""),"",G193-F193+1-INT((G193-F193+WEEKDAY(F193,2))/7))</f>
        <v/>
      </c>
      <c r="I193" s="50"/>
      <c r="J193" s="52"/>
      <c r="K193" s="49" t="str">
        <f aca="false">IF(F193="","",YEAR(F193))</f>
        <v/>
      </c>
      <c r="L193" s="49" t="str">
        <f aca="false">IF(F193="","",MONTH(F193))</f>
        <v/>
      </c>
    </row>
    <row r="194" customFormat="false" ht="15" hidden="false" customHeight="false" outlineLevel="0" collapsed="false">
      <c r="A194" s="49" t="str">
        <f aca="false">IF(B194="","",ROW()-5)</f>
        <v/>
      </c>
      <c r="B194" s="50"/>
      <c r="C194" s="51" t="str">
        <f aca="false">IFERROR(INDEX(Personel!$B:$B,MATCH(B194,Personel!$A:$A,0)),"")</f>
        <v/>
      </c>
      <c r="D194" s="51" t="str">
        <f aca="false">IFERROR(INDEX(Personel!$C:$C,MATCH(B194,Personel!$A:$A,0)),"")</f>
        <v/>
      </c>
      <c r="E194" s="52"/>
      <c r="F194" s="53"/>
      <c r="G194" s="53"/>
      <c r="H194" s="54" t="str">
        <f aca="false">IF(OR(F194="",G194=""),"",G194-F194+1-INT((G194-F194+WEEKDAY(F194,2))/7))</f>
        <v/>
      </c>
      <c r="I194" s="50"/>
      <c r="J194" s="52"/>
      <c r="K194" s="49" t="str">
        <f aca="false">IF(F194="","",YEAR(F194))</f>
        <v/>
      </c>
      <c r="L194" s="49" t="str">
        <f aca="false">IF(F194="","",MONTH(F194))</f>
        <v/>
      </c>
    </row>
    <row r="195" customFormat="false" ht="15" hidden="false" customHeight="false" outlineLevel="0" collapsed="false">
      <c r="A195" s="49" t="str">
        <f aca="false">IF(B195="","",ROW()-5)</f>
        <v/>
      </c>
      <c r="B195" s="50"/>
      <c r="C195" s="51" t="str">
        <f aca="false">IFERROR(INDEX(Personel!$B:$B,MATCH(B195,Personel!$A:$A,0)),"")</f>
        <v/>
      </c>
      <c r="D195" s="51" t="str">
        <f aca="false">IFERROR(INDEX(Personel!$C:$C,MATCH(B195,Personel!$A:$A,0)),"")</f>
        <v/>
      </c>
      <c r="E195" s="52"/>
      <c r="F195" s="53"/>
      <c r="G195" s="53"/>
      <c r="H195" s="54" t="str">
        <f aca="false">IF(OR(F195="",G195=""),"",G195-F195+1-INT((G195-F195+WEEKDAY(F195,2))/7))</f>
        <v/>
      </c>
      <c r="I195" s="50"/>
      <c r="J195" s="52"/>
      <c r="K195" s="49" t="str">
        <f aca="false">IF(F195="","",YEAR(F195))</f>
        <v/>
      </c>
      <c r="L195" s="49" t="str">
        <f aca="false">IF(F195="","",MONTH(F195))</f>
        <v/>
      </c>
    </row>
    <row r="196" customFormat="false" ht="15" hidden="false" customHeight="false" outlineLevel="0" collapsed="false">
      <c r="A196" s="49" t="str">
        <f aca="false">IF(B196="","",ROW()-5)</f>
        <v/>
      </c>
      <c r="B196" s="50"/>
      <c r="C196" s="51" t="str">
        <f aca="false">IFERROR(INDEX(Personel!$B:$B,MATCH(B196,Personel!$A:$A,0)),"")</f>
        <v/>
      </c>
      <c r="D196" s="51" t="str">
        <f aca="false">IFERROR(INDEX(Personel!$C:$C,MATCH(B196,Personel!$A:$A,0)),"")</f>
        <v/>
      </c>
      <c r="E196" s="52"/>
      <c r="F196" s="53"/>
      <c r="G196" s="53"/>
      <c r="H196" s="54" t="str">
        <f aca="false">IF(OR(F196="",G196=""),"",G196-F196+1-INT((G196-F196+WEEKDAY(F196,2))/7))</f>
        <v/>
      </c>
      <c r="I196" s="50"/>
      <c r="J196" s="52"/>
      <c r="K196" s="49" t="str">
        <f aca="false">IF(F196="","",YEAR(F196))</f>
        <v/>
      </c>
      <c r="L196" s="49" t="str">
        <f aca="false">IF(F196="","",MONTH(F196))</f>
        <v/>
      </c>
    </row>
    <row r="197" customFormat="false" ht="15" hidden="false" customHeight="false" outlineLevel="0" collapsed="false">
      <c r="A197" s="49" t="str">
        <f aca="false">IF(B197="","",ROW()-5)</f>
        <v/>
      </c>
      <c r="B197" s="50"/>
      <c r="C197" s="51" t="str">
        <f aca="false">IFERROR(INDEX(Personel!$B:$B,MATCH(B197,Personel!$A:$A,0)),"")</f>
        <v/>
      </c>
      <c r="D197" s="51" t="str">
        <f aca="false">IFERROR(INDEX(Personel!$C:$C,MATCH(B197,Personel!$A:$A,0)),"")</f>
        <v/>
      </c>
      <c r="E197" s="52"/>
      <c r="F197" s="53"/>
      <c r="G197" s="53"/>
      <c r="H197" s="54" t="str">
        <f aca="false">IF(OR(F197="",G197=""),"",G197-F197+1-INT((G197-F197+WEEKDAY(F197,2))/7))</f>
        <v/>
      </c>
      <c r="I197" s="50"/>
      <c r="J197" s="52"/>
      <c r="K197" s="49" t="str">
        <f aca="false">IF(F197="","",YEAR(F197))</f>
        <v/>
      </c>
      <c r="L197" s="49" t="str">
        <f aca="false">IF(F197="","",MONTH(F197))</f>
        <v/>
      </c>
    </row>
    <row r="198" customFormat="false" ht="15" hidden="false" customHeight="false" outlineLevel="0" collapsed="false">
      <c r="A198" s="49" t="str">
        <f aca="false">IF(B198="","",ROW()-5)</f>
        <v/>
      </c>
      <c r="B198" s="50"/>
      <c r="C198" s="51" t="str">
        <f aca="false">IFERROR(INDEX(Personel!$B:$B,MATCH(B198,Personel!$A:$A,0)),"")</f>
        <v/>
      </c>
      <c r="D198" s="51" t="str">
        <f aca="false">IFERROR(INDEX(Personel!$C:$C,MATCH(B198,Personel!$A:$A,0)),"")</f>
        <v/>
      </c>
      <c r="E198" s="52"/>
      <c r="F198" s="53"/>
      <c r="G198" s="53"/>
      <c r="H198" s="54" t="str">
        <f aca="false">IF(OR(F198="",G198=""),"",G198-F198+1-INT((G198-F198+WEEKDAY(F198,2))/7))</f>
        <v/>
      </c>
      <c r="I198" s="50"/>
      <c r="J198" s="52"/>
      <c r="K198" s="49" t="str">
        <f aca="false">IF(F198="","",YEAR(F198))</f>
        <v/>
      </c>
      <c r="L198" s="49" t="str">
        <f aca="false">IF(F198="","",MONTH(F198))</f>
        <v/>
      </c>
    </row>
    <row r="199" customFormat="false" ht="15" hidden="false" customHeight="false" outlineLevel="0" collapsed="false">
      <c r="A199" s="49" t="str">
        <f aca="false">IF(B199="","",ROW()-5)</f>
        <v/>
      </c>
      <c r="B199" s="50"/>
      <c r="C199" s="51" t="str">
        <f aca="false">IFERROR(INDEX(Personel!$B:$B,MATCH(B199,Personel!$A:$A,0)),"")</f>
        <v/>
      </c>
      <c r="D199" s="51" t="str">
        <f aca="false">IFERROR(INDEX(Personel!$C:$C,MATCH(B199,Personel!$A:$A,0)),"")</f>
        <v/>
      </c>
      <c r="E199" s="52"/>
      <c r="F199" s="53"/>
      <c r="G199" s="53"/>
      <c r="H199" s="54" t="str">
        <f aca="false">IF(OR(F199="",G199=""),"",G199-F199+1-INT((G199-F199+WEEKDAY(F199,2))/7))</f>
        <v/>
      </c>
      <c r="I199" s="50"/>
      <c r="J199" s="52"/>
      <c r="K199" s="49" t="str">
        <f aca="false">IF(F199="","",YEAR(F199))</f>
        <v/>
      </c>
      <c r="L199" s="49" t="str">
        <f aca="false">IF(F199="","",MONTH(F199))</f>
        <v/>
      </c>
    </row>
    <row r="200" customFormat="false" ht="15" hidden="false" customHeight="false" outlineLevel="0" collapsed="false">
      <c r="A200" s="49" t="str">
        <f aca="false">IF(B200="","",ROW()-5)</f>
        <v/>
      </c>
      <c r="B200" s="50"/>
      <c r="C200" s="51" t="str">
        <f aca="false">IFERROR(INDEX(Personel!$B:$B,MATCH(B200,Personel!$A:$A,0)),"")</f>
        <v/>
      </c>
      <c r="D200" s="51" t="str">
        <f aca="false">IFERROR(INDEX(Personel!$C:$C,MATCH(B200,Personel!$A:$A,0)),"")</f>
        <v/>
      </c>
      <c r="E200" s="52"/>
      <c r="F200" s="53"/>
      <c r="G200" s="53"/>
      <c r="H200" s="54" t="str">
        <f aca="false">IF(OR(F200="",G200=""),"",G200-F200+1-INT((G200-F200+WEEKDAY(F200,2))/7))</f>
        <v/>
      </c>
      <c r="I200" s="50"/>
      <c r="J200" s="52"/>
      <c r="K200" s="49" t="str">
        <f aca="false">IF(F200="","",YEAR(F200))</f>
        <v/>
      </c>
      <c r="L200" s="49" t="str">
        <f aca="false">IF(F200="","",MONTH(F200))</f>
        <v/>
      </c>
    </row>
    <row r="201" customFormat="false" ht="15" hidden="false" customHeight="false" outlineLevel="0" collapsed="false">
      <c r="A201" s="49" t="str">
        <f aca="false">IF(B201="","",ROW()-5)</f>
        <v/>
      </c>
      <c r="B201" s="50"/>
      <c r="C201" s="51" t="str">
        <f aca="false">IFERROR(INDEX(Personel!$B:$B,MATCH(B201,Personel!$A:$A,0)),"")</f>
        <v/>
      </c>
      <c r="D201" s="51" t="str">
        <f aca="false">IFERROR(INDEX(Personel!$C:$C,MATCH(B201,Personel!$A:$A,0)),"")</f>
        <v/>
      </c>
      <c r="E201" s="52"/>
      <c r="F201" s="53"/>
      <c r="G201" s="53"/>
      <c r="H201" s="54" t="str">
        <f aca="false">IF(OR(F201="",G201=""),"",G201-F201+1-INT((G201-F201+WEEKDAY(F201,2))/7))</f>
        <v/>
      </c>
      <c r="I201" s="50"/>
      <c r="J201" s="52"/>
      <c r="K201" s="49" t="str">
        <f aca="false">IF(F201="","",YEAR(F201))</f>
        <v/>
      </c>
      <c r="L201" s="49" t="str">
        <f aca="false">IF(F201="","",MONTH(F201))</f>
        <v/>
      </c>
    </row>
    <row r="202" customFormat="false" ht="15" hidden="false" customHeight="false" outlineLevel="0" collapsed="false">
      <c r="A202" s="49" t="str">
        <f aca="false">IF(B202="","",ROW()-5)</f>
        <v/>
      </c>
      <c r="B202" s="50"/>
      <c r="C202" s="51" t="str">
        <f aca="false">IFERROR(INDEX(Personel!$B:$B,MATCH(B202,Personel!$A:$A,0)),"")</f>
        <v/>
      </c>
      <c r="D202" s="51" t="str">
        <f aca="false">IFERROR(INDEX(Personel!$C:$C,MATCH(B202,Personel!$A:$A,0)),"")</f>
        <v/>
      </c>
      <c r="E202" s="52"/>
      <c r="F202" s="53"/>
      <c r="G202" s="53"/>
      <c r="H202" s="54" t="str">
        <f aca="false">IF(OR(F202="",G202=""),"",G202-F202+1-INT((G202-F202+WEEKDAY(F202,2))/7))</f>
        <v/>
      </c>
      <c r="I202" s="50"/>
      <c r="J202" s="52"/>
      <c r="K202" s="49" t="str">
        <f aca="false">IF(F202="","",YEAR(F202))</f>
        <v/>
      </c>
      <c r="L202" s="49" t="str">
        <f aca="false">IF(F202="","",MONTH(F202))</f>
        <v/>
      </c>
    </row>
    <row r="203" customFormat="false" ht="15" hidden="false" customHeight="false" outlineLevel="0" collapsed="false">
      <c r="A203" s="49" t="str">
        <f aca="false">IF(B203="","",ROW()-5)</f>
        <v/>
      </c>
      <c r="B203" s="50"/>
      <c r="C203" s="51" t="str">
        <f aca="false">IFERROR(INDEX(Personel!$B:$B,MATCH(B203,Personel!$A:$A,0)),"")</f>
        <v/>
      </c>
      <c r="D203" s="51" t="str">
        <f aca="false">IFERROR(INDEX(Personel!$C:$C,MATCH(B203,Personel!$A:$A,0)),"")</f>
        <v/>
      </c>
      <c r="E203" s="52"/>
      <c r="F203" s="53"/>
      <c r="G203" s="53"/>
      <c r="H203" s="54" t="str">
        <f aca="false">IF(OR(F203="",G203=""),"",G203-F203+1-INT((G203-F203+WEEKDAY(F203,2))/7))</f>
        <v/>
      </c>
      <c r="I203" s="50"/>
      <c r="J203" s="52"/>
      <c r="K203" s="49" t="str">
        <f aca="false">IF(F203="","",YEAR(F203))</f>
        <v/>
      </c>
      <c r="L203" s="49" t="str">
        <f aca="false">IF(F203="","",MONTH(F203))</f>
        <v/>
      </c>
    </row>
    <row r="204" customFormat="false" ht="15" hidden="false" customHeight="false" outlineLevel="0" collapsed="false">
      <c r="A204" s="49" t="str">
        <f aca="false">IF(B204="","",ROW()-5)</f>
        <v/>
      </c>
      <c r="B204" s="50"/>
      <c r="C204" s="51" t="str">
        <f aca="false">IFERROR(INDEX(Personel!$B:$B,MATCH(B204,Personel!$A:$A,0)),"")</f>
        <v/>
      </c>
      <c r="D204" s="51" t="str">
        <f aca="false">IFERROR(INDEX(Personel!$C:$C,MATCH(B204,Personel!$A:$A,0)),"")</f>
        <v/>
      </c>
      <c r="E204" s="52"/>
      <c r="F204" s="53"/>
      <c r="G204" s="53"/>
      <c r="H204" s="54" t="str">
        <f aca="false">IF(OR(F204="",G204=""),"",G204-F204+1-INT((G204-F204+WEEKDAY(F204,2))/7))</f>
        <v/>
      </c>
      <c r="I204" s="50"/>
      <c r="J204" s="52"/>
      <c r="K204" s="49" t="str">
        <f aca="false">IF(F204="","",YEAR(F204))</f>
        <v/>
      </c>
      <c r="L204" s="49" t="str">
        <f aca="false">IF(F204="","",MONTH(F204))</f>
        <v/>
      </c>
    </row>
    <row r="205" customFormat="false" ht="15" hidden="false" customHeight="false" outlineLevel="0" collapsed="false">
      <c r="A205" s="49" t="str">
        <f aca="false">IF(B205="","",ROW()-5)</f>
        <v/>
      </c>
      <c r="B205" s="50"/>
      <c r="C205" s="51" t="str">
        <f aca="false">IFERROR(INDEX(Personel!$B:$B,MATCH(B205,Personel!$A:$A,0)),"")</f>
        <v/>
      </c>
      <c r="D205" s="51" t="str">
        <f aca="false">IFERROR(INDEX(Personel!$C:$C,MATCH(B205,Personel!$A:$A,0)),"")</f>
        <v/>
      </c>
      <c r="E205" s="52"/>
      <c r="F205" s="53"/>
      <c r="G205" s="53"/>
      <c r="H205" s="54" t="str">
        <f aca="false">IF(OR(F205="",G205=""),"",G205-F205+1-INT((G205-F205+WEEKDAY(F205,2))/7))</f>
        <v/>
      </c>
      <c r="I205" s="50"/>
      <c r="J205" s="52"/>
      <c r="K205" s="49" t="str">
        <f aca="false">IF(F205="","",YEAR(F205))</f>
        <v/>
      </c>
      <c r="L205" s="49" t="str">
        <f aca="false">IF(F205="","",MONTH(F205))</f>
        <v/>
      </c>
    </row>
    <row r="206" customFormat="false" ht="15" hidden="false" customHeight="false" outlineLevel="0" collapsed="false">
      <c r="A206" s="49" t="str">
        <f aca="false">IF(B206="","",ROW()-5)</f>
        <v/>
      </c>
      <c r="B206" s="50"/>
      <c r="C206" s="51" t="str">
        <f aca="false">IFERROR(INDEX(Personel!$B:$B,MATCH(B206,Personel!$A:$A,0)),"")</f>
        <v/>
      </c>
      <c r="D206" s="51" t="str">
        <f aca="false">IFERROR(INDEX(Personel!$C:$C,MATCH(B206,Personel!$A:$A,0)),"")</f>
        <v/>
      </c>
      <c r="E206" s="52"/>
      <c r="F206" s="53"/>
      <c r="G206" s="53"/>
      <c r="H206" s="54" t="str">
        <f aca="false">IF(OR(F206="",G206=""),"",G206-F206+1-INT((G206-F206+WEEKDAY(F206,2))/7))</f>
        <v/>
      </c>
      <c r="I206" s="50"/>
      <c r="J206" s="52"/>
      <c r="K206" s="49" t="str">
        <f aca="false">IF(F206="","",YEAR(F206))</f>
        <v/>
      </c>
      <c r="L206" s="49" t="str">
        <f aca="false">IF(F206="","",MONTH(F206))</f>
        <v/>
      </c>
    </row>
    <row r="207" customFormat="false" ht="15" hidden="false" customHeight="false" outlineLevel="0" collapsed="false">
      <c r="A207" s="49" t="str">
        <f aca="false">IF(B207="","",ROW()-5)</f>
        <v/>
      </c>
      <c r="B207" s="50"/>
      <c r="C207" s="51" t="str">
        <f aca="false">IFERROR(INDEX(Personel!$B:$B,MATCH(B207,Personel!$A:$A,0)),"")</f>
        <v/>
      </c>
      <c r="D207" s="51" t="str">
        <f aca="false">IFERROR(INDEX(Personel!$C:$C,MATCH(B207,Personel!$A:$A,0)),"")</f>
        <v/>
      </c>
      <c r="E207" s="52"/>
      <c r="F207" s="53"/>
      <c r="G207" s="53"/>
      <c r="H207" s="54" t="str">
        <f aca="false">IF(OR(F207="",G207=""),"",G207-F207+1-INT((G207-F207+WEEKDAY(F207,2))/7))</f>
        <v/>
      </c>
      <c r="I207" s="50"/>
      <c r="J207" s="52"/>
      <c r="K207" s="49" t="str">
        <f aca="false">IF(F207="","",YEAR(F207))</f>
        <v/>
      </c>
      <c r="L207" s="49" t="str">
        <f aca="false">IF(F207="","",MONTH(F207))</f>
        <v/>
      </c>
    </row>
    <row r="208" customFormat="false" ht="15" hidden="false" customHeight="false" outlineLevel="0" collapsed="false">
      <c r="A208" s="49" t="str">
        <f aca="false">IF(B208="","",ROW()-5)</f>
        <v/>
      </c>
      <c r="B208" s="50"/>
      <c r="C208" s="51" t="str">
        <f aca="false">IFERROR(INDEX(Personel!$B:$B,MATCH(B208,Personel!$A:$A,0)),"")</f>
        <v/>
      </c>
      <c r="D208" s="51" t="str">
        <f aca="false">IFERROR(INDEX(Personel!$C:$C,MATCH(B208,Personel!$A:$A,0)),"")</f>
        <v/>
      </c>
      <c r="E208" s="52"/>
      <c r="F208" s="53"/>
      <c r="G208" s="53"/>
      <c r="H208" s="54" t="str">
        <f aca="false">IF(OR(F208="",G208=""),"",G208-F208+1-INT((G208-F208+WEEKDAY(F208,2))/7))</f>
        <v/>
      </c>
      <c r="I208" s="50"/>
      <c r="J208" s="52"/>
      <c r="K208" s="49" t="str">
        <f aca="false">IF(F208="","",YEAR(F208))</f>
        <v/>
      </c>
      <c r="L208" s="49" t="str">
        <f aca="false">IF(F208="","",MONTH(F208))</f>
        <v/>
      </c>
    </row>
    <row r="209" customFormat="false" ht="15" hidden="false" customHeight="false" outlineLevel="0" collapsed="false">
      <c r="A209" s="49" t="str">
        <f aca="false">IF(B209="","",ROW()-5)</f>
        <v/>
      </c>
      <c r="B209" s="50"/>
      <c r="C209" s="51" t="str">
        <f aca="false">IFERROR(INDEX(Personel!$B:$B,MATCH(B209,Personel!$A:$A,0)),"")</f>
        <v/>
      </c>
      <c r="D209" s="51" t="str">
        <f aca="false">IFERROR(INDEX(Personel!$C:$C,MATCH(B209,Personel!$A:$A,0)),"")</f>
        <v/>
      </c>
      <c r="E209" s="52"/>
      <c r="F209" s="53"/>
      <c r="G209" s="53"/>
      <c r="H209" s="54" t="str">
        <f aca="false">IF(OR(F209="",G209=""),"",G209-F209+1-INT((G209-F209+WEEKDAY(F209,2))/7))</f>
        <v/>
      </c>
      <c r="I209" s="50"/>
      <c r="J209" s="52"/>
      <c r="K209" s="49" t="str">
        <f aca="false">IF(F209="","",YEAR(F209))</f>
        <v/>
      </c>
      <c r="L209" s="49" t="str">
        <f aca="false">IF(F209="","",MONTH(F209))</f>
        <v/>
      </c>
    </row>
    <row r="210" customFormat="false" ht="15" hidden="false" customHeight="false" outlineLevel="0" collapsed="false">
      <c r="A210" s="49" t="str">
        <f aca="false">IF(B210="","",ROW()-5)</f>
        <v/>
      </c>
      <c r="B210" s="50"/>
      <c r="C210" s="51" t="str">
        <f aca="false">IFERROR(INDEX(Personel!$B:$B,MATCH(B210,Personel!$A:$A,0)),"")</f>
        <v/>
      </c>
      <c r="D210" s="51" t="str">
        <f aca="false">IFERROR(INDEX(Personel!$C:$C,MATCH(B210,Personel!$A:$A,0)),"")</f>
        <v/>
      </c>
      <c r="E210" s="52"/>
      <c r="F210" s="53"/>
      <c r="G210" s="53"/>
      <c r="H210" s="54" t="str">
        <f aca="false">IF(OR(F210="",G210=""),"",G210-F210+1-INT((G210-F210+WEEKDAY(F210,2))/7))</f>
        <v/>
      </c>
      <c r="I210" s="50"/>
      <c r="J210" s="52"/>
      <c r="K210" s="49" t="str">
        <f aca="false">IF(F210="","",YEAR(F210))</f>
        <v/>
      </c>
      <c r="L210" s="49" t="str">
        <f aca="false">IF(F210="","",MONTH(F210))</f>
        <v/>
      </c>
    </row>
    <row r="211" customFormat="false" ht="15" hidden="false" customHeight="false" outlineLevel="0" collapsed="false">
      <c r="A211" s="49" t="str">
        <f aca="false">IF(B211="","",ROW()-5)</f>
        <v/>
      </c>
      <c r="B211" s="50"/>
      <c r="C211" s="51" t="str">
        <f aca="false">IFERROR(INDEX(Personel!$B:$B,MATCH(B211,Personel!$A:$A,0)),"")</f>
        <v/>
      </c>
      <c r="D211" s="51" t="str">
        <f aca="false">IFERROR(INDEX(Personel!$C:$C,MATCH(B211,Personel!$A:$A,0)),"")</f>
        <v/>
      </c>
      <c r="E211" s="52"/>
      <c r="F211" s="53"/>
      <c r="G211" s="53"/>
      <c r="H211" s="54" t="str">
        <f aca="false">IF(OR(F211="",G211=""),"",G211-F211+1-INT((G211-F211+WEEKDAY(F211,2))/7))</f>
        <v/>
      </c>
      <c r="I211" s="50"/>
      <c r="J211" s="52"/>
      <c r="K211" s="49" t="str">
        <f aca="false">IF(F211="","",YEAR(F211))</f>
        <v/>
      </c>
      <c r="L211" s="49" t="str">
        <f aca="false">IF(F211="","",MONTH(F211))</f>
        <v/>
      </c>
    </row>
    <row r="212" customFormat="false" ht="15" hidden="false" customHeight="false" outlineLevel="0" collapsed="false">
      <c r="A212" s="49" t="str">
        <f aca="false">IF(B212="","",ROW()-5)</f>
        <v/>
      </c>
      <c r="B212" s="50"/>
      <c r="C212" s="51" t="str">
        <f aca="false">IFERROR(INDEX(Personel!$B:$B,MATCH(B212,Personel!$A:$A,0)),"")</f>
        <v/>
      </c>
      <c r="D212" s="51" t="str">
        <f aca="false">IFERROR(INDEX(Personel!$C:$C,MATCH(B212,Personel!$A:$A,0)),"")</f>
        <v/>
      </c>
      <c r="E212" s="52"/>
      <c r="F212" s="53"/>
      <c r="G212" s="53"/>
      <c r="H212" s="54" t="str">
        <f aca="false">IF(OR(F212="",G212=""),"",G212-F212+1-INT((G212-F212+WEEKDAY(F212,2))/7))</f>
        <v/>
      </c>
      <c r="I212" s="50"/>
      <c r="J212" s="52"/>
      <c r="K212" s="49" t="str">
        <f aca="false">IF(F212="","",YEAR(F212))</f>
        <v/>
      </c>
      <c r="L212" s="49" t="str">
        <f aca="false">IF(F212="","",MONTH(F212))</f>
        <v/>
      </c>
    </row>
    <row r="213" customFormat="false" ht="15" hidden="false" customHeight="false" outlineLevel="0" collapsed="false">
      <c r="A213" s="49" t="str">
        <f aca="false">IF(B213="","",ROW()-5)</f>
        <v/>
      </c>
      <c r="B213" s="50"/>
      <c r="C213" s="51" t="str">
        <f aca="false">IFERROR(INDEX(Personel!$B:$B,MATCH(B213,Personel!$A:$A,0)),"")</f>
        <v/>
      </c>
      <c r="D213" s="51" t="str">
        <f aca="false">IFERROR(INDEX(Personel!$C:$C,MATCH(B213,Personel!$A:$A,0)),"")</f>
        <v/>
      </c>
      <c r="E213" s="52"/>
      <c r="F213" s="53"/>
      <c r="G213" s="53"/>
      <c r="H213" s="54" t="str">
        <f aca="false">IF(OR(F213="",G213=""),"",G213-F213+1-INT((G213-F213+WEEKDAY(F213,2))/7))</f>
        <v/>
      </c>
      <c r="I213" s="50"/>
      <c r="J213" s="52"/>
      <c r="K213" s="49" t="str">
        <f aca="false">IF(F213="","",YEAR(F213))</f>
        <v/>
      </c>
      <c r="L213" s="49" t="str">
        <f aca="false">IF(F213="","",MONTH(F213))</f>
        <v/>
      </c>
    </row>
    <row r="214" customFormat="false" ht="15" hidden="false" customHeight="false" outlineLevel="0" collapsed="false">
      <c r="A214" s="49" t="str">
        <f aca="false">IF(B214="","",ROW()-5)</f>
        <v/>
      </c>
      <c r="B214" s="50"/>
      <c r="C214" s="51" t="str">
        <f aca="false">IFERROR(INDEX(Personel!$B:$B,MATCH(B214,Personel!$A:$A,0)),"")</f>
        <v/>
      </c>
      <c r="D214" s="51" t="str">
        <f aca="false">IFERROR(INDEX(Personel!$C:$C,MATCH(B214,Personel!$A:$A,0)),"")</f>
        <v/>
      </c>
      <c r="E214" s="52"/>
      <c r="F214" s="53"/>
      <c r="G214" s="53"/>
      <c r="H214" s="54" t="str">
        <f aca="false">IF(OR(F214="",G214=""),"",G214-F214+1-INT((G214-F214+WEEKDAY(F214,2))/7))</f>
        <v/>
      </c>
      <c r="I214" s="50"/>
      <c r="J214" s="52"/>
      <c r="K214" s="49" t="str">
        <f aca="false">IF(F214="","",YEAR(F214))</f>
        <v/>
      </c>
      <c r="L214" s="49" t="str">
        <f aca="false">IF(F214="","",MONTH(F214))</f>
        <v/>
      </c>
    </row>
    <row r="215" customFormat="false" ht="15" hidden="false" customHeight="false" outlineLevel="0" collapsed="false">
      <c r="A215" s="49" t="str">
        <f aca="false">IF(B215="","",ROW()-5)</f>
        <v/>
      </c>
      <c r="B215" s="50"/>
      <c r="C215" s="51" t="str">
        <f aca="false">IFERROR(INDEX(Personel!$B:$B,MATCH(B215,Personel!$A:$A,0)),"")</f>
        <v/>
      </c>
      <c r="D215" s="51" t="str">
        <f aca="false">IFERROR(INDEX(Personel!$C:$C,MATCH(B215,Personel!$A:$A,0)),"")</f>
        <v/>
      </c>
      <c r="E215" s="52"/>
      <c r="F215" s="53"/>
      <c r="G215" s="53"/>
      <c r="H215" s="54" t="str">
        <f aca="false">IF(OR(F215="",G215=""),"",G215-F215+1-INT((G215-F215+WEEKDAY(F215,2))/7))</f>
        <v/>
      </c>
      <c r="I215" s="50"/>
      <c r="J215" s="52"/>
      <c r="K215" s="49" t="str">
        <f aca="false">IF(F215="","",YEAR(F215))</f>
        <v/>
      </c>
      <c r="L215" s="49" t="str">
        <f aca="false">IF(F215="","",MONTH(F215))</f>
        <v/>
      </c>
    </row>
    <row r="216" customFormat="false" ht="15" hidden="false" customHeight="false" outlineLevel="0" collapsed="false">
      <c r="A216" s="49" t="str">
        <f aca="false">IF(B216="","",ROW()-5)</f>
        <v/>
      </c>
      <c r="B216" s="50"/>
      <c r="C216" s="51" t="str">
        <f aca="false">IFERROR(INDEX(Personel!$B:$B,MATCH(B216,Personel!$A:$A,0)),"")</f>
        <v/>
      </c>
      <c r="D216" s="51" t="str">
        <f aca="false">IFERROR(INDEX(Personel!$C:$C,MATCH(B216,Personel!$A:$A,0)),"")</f>
        <v/>
      </c>
      <c r="E216" s="52"/>
      <c r="F216" s="53"/>
      <c r="G216" s="53"/>
      <c r="H216" s="54" t="str">
        <f aca="false">IF(OR(F216="",G216=""),"",G216-F216+1-INT((G216-F216+WEEKDAY(F216,2))/7))</f>
        <v/>
      </c>
      <c r="I216" s="50"/>
      <c r="J216" s="52"/>
      <c r="K216" s="49" t="str">
        <f aca="false">IF(F216="","",YEAR(F216))</f>
        <v/>
      </c>
      <c r="L216" s="49" t="str">
        <f aca="false">IF(F216="","",MONTH(F216))</f>
        <v/>
      </c>
    </row>
    <row r="217" customFormat="false" ht="15" hidden="false" customHeight="false" outlineLevel="0" collapsed="false">
      <c r="A217" s="49" t="str">
        <f aca="false">IF(B217="","",ROW()-5)</f>
        <v/>
      </c>
      <c r="B217" s="50"/>
      <c r="C217" s="51" t="str">
        <f aca="false">IFERROR(INDEX(Personel!$B:$B,MATCH(B217,Personel!$A:$A,0)),"")</f>
        <v/>
      </c>
      <c r="D217" s="51" t="str">
        <f aca="false">IFERROR(INDEX(Personel!$C:$C,MATCH(B217,Personel!$A:$A,0)),"")</f>
        <v/>
      </c>
      <c r="E217" s="52"/>
      <c r="F217" s="53"/>
      <c r="G217" s="53"/>
      <c r="H217" s="54" t="str">
        <f aca="false">IF(OR(F217="",G217=""),"",G217-F217+1-INT((G217-F217+WEEKDAY(F217,2))/7))</f>
        <v/>
      </c>
      <c r="I217" s="50"/>
      <c r="J217" s="52"/>
      <c r="K217" s="49" t="str">
        <f aca="false">IF(F217="","",YEAR(F217))</f>
        <v/>
      </c>
      <c r="L217" s="49" t="str">
        <f aca="false">IF(F217="","",MONTH(F217))</f>
        <v/>
      </c>
    </row>
    <row r="218" customFormat="false" ht="15" hidden="false" customHeight="false" outlineLevel="0" collapsed="false">
      <c r="A218" s="49" t="str">
        <f aca="false">IF(B218="","",ROW()-5)</f>
        <v/>
      </c>
      <c r="B218" s="50"/>
      <c r="C218" s="51" t="str">
        <f aca="false">IFERROR(INDEX(Personel!$B:$B,MATCH(B218,Personel!$A:$A,0)),"")</f>
        <v/>
      </c>
      <c r="D218" s="51" t="str">
        <f aca="false">IFERROR(INDEX(Personel!$C:$C,MATCH(B218,Personel!$A:$A,0)),"")</f>
        <v/>
      </c>
      <c r="E218" s="52"/>
      <c r="F218" s="53"/>
      <c r="G218" s="53"/>
      <c r="H218" s="54" t="str">
        <f aca="false">IF(OR(F218="",G218=""),"",G218-F218+1-INT((G218-F218+WEEKDAY(F218,2))/7))</f>
        <v/>
      </c>
      <c r="I218" s="50"/>
      <c r="J218" s="52"/>
      <c r="K218" s="49" t="str">
        <f aca="false">IF(F218="","",YEAR(F218))</f>
        <v/>
      </c>
      <c r="L218" s="49" t="str">
        <f aca="false">IF(F218="","",MONTH(F218))</f>
        <v/>
      </c>
    </row>
    <row r="219" customFormat="false" ht="15" hidden="false" customHeight="false" outlineLevel="0" collapsed="false">
      <c r="A219" s="49" t="str">
        <f aca="false">IF(B219="","",ROW()-5)</f>
        <v/>
      </c>
      <c r="B219" s="50"/>
      <c r="C219" s="51" t="str">
        <f aca="false">IFERROR(INDEX(Personel!$B:$B,MATCH(B219,Personel!$A:$A,0)),"")</f>
        <v/>
      </c>
      <c r="D219" s="51" t="str">
        <f aca="false">IFERROR(INDEX(Personel!$C:$C,MATCH(B219,Personel!$A:$A,0)),"")</f>
        <v/>
      </c>
      <c r="E219" s="52"/>
      <c r="F219" s="53"/>
      <c r="G219" s="53"/>
      <c r="H219" s="54" t="str">
        <f aca="false">IF(OR(F219="",G219=""),"",G219-F219+1-INT((G219-F219+WEEKDAY(F219,2))/7))</f>
        <v/>
      </c>
      <c r="I219" s="50"/>
      <c r="J219" s="52"/>
      <c r="K219" s="49" t="str">
        <f aca="false">IF(F219="","",YEAR(F219))</f>
        <v/>
      </c>
      <c r="L219" s="49" t="str">
        <f aca="false">IF(F219="","",MONTH(F219))</f>
        <v/>
      </c>
    </row>
    <row r="220" customFormat="false" ht="15" hidden="false" customHeight="false" outlineLevel="0" collapsed="false">
      <c r="A220" s="49" t="str">
        <f aca="false">IF(B220="","",ROW()-5)</f>
        <v/>
      </c>
      <c r="B220" s="50"/>
      <c r="C220" s="51" t="str">
        <f aca="false">IFERROR(INDEX(Personel!$B:$B,MATCH(B220,Personel!$A:$A,0)),"")</f>
        <v/>
      </c>
      <c r="D220" s="51" t="str">
        <f aca="false">IFERROR(INDEX(Personel!$C:$C,MATCH(B220,Personel!$A:$A,0)),"")</f>
        <v/>
      </c>
      <c r="E220" s="52"/>
      <c r="F220" s="53"/>
      <c r="G220" s="53"/>
      <c r="H220" s="54" t="str">
        <f aca="false">IF(OR(F220="",G220=""),"",G220-F220+1-INT((G220-F220+WEEKDAY(F220,2))/7))</f>
        <v/>
      </c>
      <c r="I220" s="50"/>
      <c r="J220" s="52"/>
      <c r="K220" s="49" t="str">
        <f aca="false">IF(F220="","",YEAR(F220))</f>
        <v/>
      </c>
      <c r="L220" s="49" t="str">
        <f aca="false">IF(F220="","",MONTH(F220))</f>
        <v/>
      </c>
    </row>
    <row r="221" customFormat="false" ht="15" hidden="false" customHeight="false" outlineLevel="0" collapsed="false">
      <c r="A221" s="49" t="str">
        <f aca="false">IF(B221="","",ROW()-5)</f>
        <v/>
      </c>
      <c r="B221" s="50"/>
      <c r="C221" s="51" t="str">
        <f aca="false">IFERROR(INDEX(Personel!$B:$B,MATCH(B221,Personel!$A:$A,0)),"")</f>
        <v/>
      </c>
      <c r="D221" s="51" t="str">
        <f aca="false">IFERROR(INDEX(Personel!$C:$C,MATCH(B221,Personel!$A:$A,0)),"")</f>
        <v/>
      </c>
      <c r="E221" s="52"/>
      <c r="F221" s="53"/>
      <c r="G221" s="53"/>
      <c r="H221" s="54" t="str">
        <f aca="false">IF(OR(F221="",G221=""),"",G221-F221+1-INT((G221-F221+WEEKDAY(F221,2))/7))</f>
        <v/>
      </c>
      <c r="I221" s="50"/>
      <c r="J221" s="52"/>
      <c r="K221" s="49" t="str">
        <f aca="false">IF(F221="","",YEAR(F221))</f>
        <v/>
      </c>
      <c r="L221" s="49" t="str">
        <f aca="false">IF(F221="","",MONTH(F221))</f>
        <v/>
      </c>
    </row>
    <row r="222" customFormat="false" ht="15" hidden="false" customHeight="false" outlineLevel="0" collapsed="false">
      <c r="A222" s="49" t="str">
        <f aca="false">IF(B222="","",ROW()-5)</f>
        <v/>
      </c>
      <c r="B222" s="50"/>
      <c r="C222" s="51" t="str">
        <f aca="false">IFERROR(INDEX(Personel!$B:$B,MATCH(B222,Personel!$A:$A,0)),"")</f>
        <v/>
      </c>
      <c r="D222" s="51" t="str">
        <f aca="false">IFERROR(INDEX(Personel!$C:$C,MATCH(B222,Personel!$A:$A,0)),"")</f>
        <v/>
      </c>
      <c r="E222" s="52"/>
      <c r="F222" s="53"/>
      <c r="G222" s="53"/>
      <c r="H222" s="54" t="str">
        <f aca="false">IF(OR(F222="",G222=""),"",G222-F222+1-INT((G222-F222+WEEKDAY(F222,2))/7))</f>
        <v/>
      </c>
      <c r="I222" s="50"/>
      <c r="J222" s="52"/>
      <c r="K222" s="49" t="str">
        <f aca="false">IF(F222="","",YEAR(F222))</f>
        <v/>
      </c>
      <c r="L222" s="49" t="str">
        <f aca="false">IF(F222="","",MONTH(F222))</f>
        <v/>
      </c>
    </row>
    <row r="223" customFormat="false" ht="15" hidden="false" customHeight="false" outlineLevel="0" collapsed="false">
      <c r="A223" s="49" t="str">
        <f aca="false">IF(B223="","",ROW()-5)</f>
        <v/>
      </c>
      <c r="B223" s="50"/>
      <c r="C223" s="51" t="str">
        <f aca="false">IFERROR(INDEX(Personel!$B:$B,MATCH(B223,Personel!$A:$A,0)),"")</f>
        <v/>
      </c>
      <c r="D223" s="51" t="str">
        <f aca="false">IFERROR(INDEX(Personel!$C:$C,MATCH(B223,Personel!$A:$A,0)),"")</f>
        <v/>
      </c>
      <c r="E223" s="52"/>
      <c r="F223" s="53"/>
      <c r="G223" s="53"/>
      <c r="H223" s="54" t="str">
        <f aca="false">IF(OR(F223="",G223=""),"",G223-F223+1-INT((G223-F223+WEEKDAY(F223,2))/7))</f>
        <v/>
      </c>
      <c r="I223" s="50"/>
      <c r="J223" s="52"/>
      <c r="K223" s="49" t="str">
        <f aca="false">IF(F223="","",YEAR(F223))</f>
        <v/>
      </c>
      <c r="L223" s="49" t="str">
        <f aca="false">IF(F223="","",MONTH(F223))</f>
        <v/>
      </c>
    </row>
    <row r="224" customFormat="false" ht="15" hidden="false" customHeight="false" outlineLevel="0" collapsed="false">
      <c r="A224" s="49" t="str">
        <f aca="false">IF(B224="","",ROW()-5)</f>
        <v/>
      </c>
      <c r="B224" s="50"/>
      <c r="C224" s="51" t="str">
        <f aca="false">IFERROR(INDEX(Personel!$B:$B,MATCH(B224,Personel!$A:$A,0)),"")</f>
        <v/>
      </c>
      <c r="D224" s="51" t="str">
        <f aca="false">IFERROR(INDEX(Personel!$C:$C,MATCH(B224,Personel!$A:$A,0)),"")</f>
        <v/>
      </c>
      <c r="E224" s="52"/>
      <c r="F224" s="53"/>
      <c r="G224" s="53"/>
      <c r="H224" s="54" t="str">
        <f aca="false">IF(OR(F224="",G224=""),"",G224-F224+1-INT((G224-F224+WEEKDAY(F224,2))/7))</f>
        <v/>
      </c>
      <c r="I224" s="50"/>
      <c r="J224" s="52"/>
      <c r="K224" s="49" t="str">
        <f aca="false">IF(F224="","",YEAR(F224))</f>
        <v/>
      </c>
      <c r="L224" s="49" t="str">
        <f aca="false">IF(F224="","",MONTH(F224))</f>
        <v/>
      </c>
    </row>
    <row r="225" customFormat="false" ht="15" hidden="false" customHeight="false" outlineLevel="0" collapsed="false">
      <c r="A225" s="49" t="str">
        <f aca="false">IF(B225="","",ROW()-5)</f>
        <v/>
      </c>
      <c r="B225" s="50"/>
      <c r="C225" s="51" t="str">
        <f aca="false">IFERROR(INDEX(Personel!$B:$B,MATCH(B225,Personel!$A:$A,0)),"")</f>
        <v/>
      </c>
      <c r="D225" s="51" t="str">
        <f aca="false">IFERROR(INDEX(Personel!$C:$C,MATCH(B225,Personel!$A:$A,0)),"")</f>
        <v/>
      </c>
      <c r="E225" s="52"/>
      <c r="F225" s="53"/>
      <c r="G225" s="53"/>
      <c r="H225" s="54" t="str">
        <f aca="false">IF(OR(F225="",G225=""),"",G225-F225+1-INT((G225-F225+WEEKDAY(F225,2))/7))</f>
        <v/>
      </c>
      <c r="I225" s="50"/>
      <c r="J225" s="52"/>
      <c r="K225" s="49" t="str">
        <f aca="false">IF(F225="","",YEAR(F225))</f>
        <v/>
      </c>
      <c r="L225" s="49" t="str">
        <f aca="false">IF(F225="","",MONTH(F225))</f>
        <v/>
      </c>
    </row>
    <row r="226" customFormat="false" ht="15" hidden="false" customHeight="false" outlineLevel="0" collapsed="false">
      <c r="A226" s="49" t="str">
        <f aca="false">IF(B226="","",ROW()-5)</f>
        <v/>
      </c>
      <c r="B226" s="50"/>
      <c r="C226" s="51" t="str">
        <f aca="false">IFERROR(INDEX(Personel!$B:$B,MATCH(B226,Personel!$A:$A,0)),"")</f>
        <v/>
      </c>
      <c r="D226" s="51" t="str">
        <f aca="false">IFERROR(INDEX(Personel!$C:$C,MATCH(B226,Personel!$A:$A,0)),"")</f>
        <v/>
      </c>
      <c r="E226" s="52"/>
      <c r="F226" s="53"/>
      <c r="G226" s="53"/>
      <c r="H226" s="54" t="str">
        <f aca="false">IF(OR(F226="",G226=""),"",G226-F226+1-INT((G226-F226+WEEKDAY(F226,2))/7))</f>
        <v/>
      </c>
      <c r="I226" s="50"/>
      <c r="J226" s="52"/>
      <c r="K226" s="49" t="str">
        <f aca="false">IF(F226="","",YEAR(F226))</f>
        <v/>
      </c>
      <c r="L226" s="49" t="str">
        <f aca="false">IF(F226="","",MONTH(F226))</f>
        <v/>
      </c>
    </row>
    <row r="227" customFormat="false" ht="15" hidden="false" customHeight="false" outlineLevel="0" collapsed="false">
      <c r="A227" s="49" t="str">
        <f aca="false">IF(B227="","",ROW()-5)</f>
        <v/>
      </c>
      <c r="B227" s="50"/>
      <c r="C227" s="51" t="str">
        <f aca="false">IFERROR(INDEX(Personel!$B:$B,MATCH(B227,Personel!$A:$A,0)),"")</f>
        <v/>
      </c>
      <c r="D227" s="51" t="str">
        <f aca="false">IFERROR(INDEX(Personel!$C:$C,MATCH(B227,Personel!$A:$A,0)),"")</f>
        <v/>
      </c>
      <c r="E227" s="52"/>
      <c r="F227" s="53"/>
      <c r="G227" s="53"/>
      <c r="H227" s="54" t="str">
        <f aca="false">IF(OR(F227="",G227=""),"",G227-F227+1-INT((G227-F227+WEEKDAY(F227,2))/7))</f>
        <v/>
      </c>
      <c r="I227" s="50"/>
      <c r="J227" s="52"/>
      <c r="K227" s="49" t="str">
        <f aca="false">IF(F227="","",YEAR(F227))</f>
        <v/>
      </c>
      <c r="L227" s="49" t="str">
        <f aca="false">IF(F227="","",MONTH(F227))</f>
        <v/>
      </c>
    </row>
    <row r="228" customFormat="false" ht="15" hidden="false" customHeight="false" outlineLevel="0" collapsed="false">
      <c r="A228" s="49" t="str">
        <f aca="false">IF(B228="","",ROW()-5)</f>
        <v/>
      </c>
      <c r="B228" s="50"/>
      <c r="C228" s="51" t="str">
        <f aca="false">IFERROR(INDEX(Personel!$B:$B,MATCH(B228,Personel!$A:$A,0)),"")</f>
        <v/>
      </c>
      <c r="D228" s="51" t="str">
        <f aca="false">IFERROR(INDEX(Personel!$C:$C,MATCH(B228,Personel!$A:$A,0)),"")</f>
        <v/>
      </c>
      <c r="E228" s="52"/>
      <c r="F228" s="53"/>
      <c r="G228" s="53"/>
      <c r="H228" s="54" t="str">
        <f aca="false">IF(OR(F228="",G228=""),"",G228-F228+1-INT((G228-F228+WEEKDAY(F228,2))/7))</f>
        <v/>
      </c>
      <c r="I228" s="50"/>
      <c r="J228" s="52"/>
      <c r="K228" s="49" t="str">
        <f aca="false">IF(F228="","",YEAR(F228))</f>
        <v/>
      </c>
      <c r="L228" s="49" t="str">
        <f aca="false">IF(F228="","",MONTH(F228))</f>
        <v/>
      </c>
    </row>
    <row r="229" customFormat="false" ht="15" hidden="false" customHeight="false" outlineLevel="0" collapsed="false">
      <c r="A229" s="49" t="str">
        <f aca="false">IF(B229="","",ROW()-5)</f>
        <v/>
      </c>
      <c r="B229" s="50"/>
      <c r="C229" s="51" t="str">
        <f aca="false">IFERROR(INDEX(Personel!$B:$B,MATCH(B229,Personel!$A:$A,0)),"")</f>
        <v/>
      </c>
      <c r="D229" s="51" t="str">
        <f aca="false">IFERROR(INDEX(Personel!$C:$C,MATCH(B229,Personel!$A:$A,0)),"")</f>
        <v/>
      </c>
      <c r="E229" s="52"/>
      <c r="F229" s="53"/>
      <c r="G229" s="53"/>
      <c r="H229" s="54" t="str">
        <f aca="false">IF(OR(F229="",G229=""),"",G229-F229+1-INT((G229-F229+WEEKDAY(F229,2))/7))</f>
        <v/>
      </c>
      <c r="I229" s="50"/>
      <c r="J229" s="52"/>
      <c r="K229" s="49" t="str">
        <f aca="false">IF(F229="","",YEAR(F229))</f>
        <v/>
      </c>
      <c r="L229" s="49" t="str">
        <f aca="false">IF(F229="","",MONTH(F229))</f>
        <v/>
      </c>
    </row>
    <row r="230" customFormat="false" ht="15" hidden="false" customHeight="false" outlineLevel="0" collapsed="false">
      <c r="A230" s="49" t="str">
        <f aca="false">IF(B230="","",ROW()-5)</f>
        <v/>
      </c>
      <c r="B230" s="50"/>
      <c r="C230" s="51" t="str">
        <f aca="false">IFERROR(INDEX(Personel!$B:$B,MATCH(B230,Personel!$A:$A,0)),"")</f>
        <v/>
      </c>
      <c r="D230" s="51" t="str">
        <f aca="false">IFERROR(INDEX(Personel!$C:$C,MATCH(B230,Personel!$A:$A,0)),"")</f>
        <v/>
      </c>
      <c r="E230" s="52"/>
      <c r="F230" s="53"/>
      <c r="G230" s="53"/>
      <c r="H230" s="54" t="str">
        <f aca="false">IF(OR(F230="",G230=""),"",G230-F230+1-INT((G230-F230+WEEKDAY(F230,2))/7))</f>
        <v/>
      </c>
      <c r="I230" s="50"/>
      <c r="J230" s="52"/>
      <c r="K230" s="49" t="str">
        <f aca="false">IF(F230="","",YEAR(F230))</f>
        <v/>
      </c>
      <c r="L230" s="49" t="str">
        <f aca="false">IF(F230="","",MONTH(F230))</f>
        <v/>
      </c>
    </row>
    <row r="231" customFormat="false" ht="15" hidden="false" customHeight="false" outlineLevel="0" collapsed="false">
      <c r="A231" s="49" t="str">
        <f aca="false">IF(B231="","",ROW()-5)</f>
        <v/>
      </c>
      <c r="B231" s="50"/>
      <c r="C231" s="51" t="str">
        <f aca="false">IFERROR(INDEX(Personel!$B:$B,MATCH(B231,Personel!$A:$A,0)),"")</f>
        <v/>
      </c>
      <c r="D231" s="51" t="str">
        <f aca="false">IFERROR(INDEX(Personel!$C:$C,MATCH(B231,Personel!$A:$A,0)),"")</f>
        <v/>
      </c>
      <c r="E231" s="52"/>
      <c r="F231" s="53"/>
      <c r="G231" s="53"/>
      <c r="H231" s="54" t="str">
        <f aca="false">IF(OR(F231="",G231=""),"",G231-F231+1-INT((G231-F231+WEEKDAY(F231,2))/7))</f>
        <v/>
      </c>
      <c r="I231" s="50"/>
      <c r="J231" s="52"/>
      <c r="K231" s="49" t="str">
        <f aca="false">IF(F231="","",YEAR(F231))</f>
        <v/>
      </c>
      <c r="L231" s="49" t="str">
        <f aca="false">IF(F231="","",MONTH(F231))</f>
        <v/>
      </c>
    </row>
    <row r="232" customFormat="false" ht="15" hidden="false" customHeight="false" outlineLevel="0" collapsed="false">
      <c r="A232" s="49" t="str">
        <f aca="false">IF(B232="","",ROW()-5)</f>
        <v/>
      </c>
      <c r="B232" s="50"/>
      <c r="C232" s="51" t="str">
        <f aca="false">IFERROR(INDEX(Personel!$B:$B,MATCH(B232,Personel!$A:$A,0)),"")</f>
        <v/>
      </c>
      <c r="D232" s="51" t="str">
        <f aca="false">IFERROR(INDEX(Personel!$C:$C,MATCH(B232,Personel!$A:$A,0)),"")</f>
        <v/>
      </c>
      <c r="E232" s="52"/>
      <c r="F232" s="53"/>
      <c r="G232" s="53"/>
      <c r="H232" s="54" t="str">
        <f aca="false">IF(OR(F232="",G232=""),"",G232-F232+1-INT((G232-F232+WEEKDAY(F232,2))/7))</f>
        <v/>
      </c>
      <c r="I232" s="50"/>
      <c r="J232" s="52"/>
      <c r="K232" s="49" t="str">
        <f aca="false">IF(F232="","",YEAR(F232))</f>
        <v/>
      </c>
      <c r="L232" s="49" t="str">
        <f aca="false">IF(F232="","",MONTH(F232))</f>
        <v/>
      </c>
    </row>
    <row r="233" customFormat="false" ht="15" hidden="false" customHeight="false" outlineLevel="0" collapsed="false">
      <c r="A233" s="49" t="str">
        <f aca="false">IF(B233="","",ROW()-5)</f>
        <v/>
      </c>
      <c r="B233" s="50"/>
      <c r="C233" s="51" t="str">
        <f aca="false">IFERROR(INDEX(Personel!$B:$B,MATCH(B233,Personel!$A:$A,0)),"")</f>
        <v/>
      </c>
      <c r="D233" s="51" t="str">
        <f aca="false">IFERROR(INDEX(Personel!$C:$C,MATCH(B233,Personel!$A:$A,0)),"")</f>
        <v/>
      </c>
      <c r="E233" s="52"/>
      <c r="F233" s="53"/>
      <c r="G233" s="53"/>
      <c r="H233" s="54" t="str">
        <f aca="false">IF(OR(F233="",G233=""),"",G233-F233+1-INT((G233-F233+WEEKDAY(F233,2))/7))</f>
        <v/>
      </c>
      <c r="I233" s="50"/>
      <c r="J233" s="52"/>
      <c r="K233" s="49" t="str">
        <f aca="false">IF(F233="","",YEAR(F233))</f>
        <v/>
      </c>
      <c r="L233" s="49" t="str">
        <f aca="false">IF(F233="","",MONTH(F233))</f>
        <v/>
      </c>
    </row>
    <row r="234" customFormat="false" ht="15" hidden="false" customHeight="false" outlineLevel="0" collapsed="false">
      <c r="A234" s="49" t="str">
        <f aca="false">IF(B234="","",ROW()-5)</f>
        <v/>
      </c>
      <c r="B234" s="50"/>
      <c r="C234" s="51" t="str">
        <f aca="false">IFERROR(INDEX(Personel!$B:$B,MATCH(B234,Personel!$A:$A,0)),"")</f>
        <v/>
      </c>
      <c r="D234" s="51" t="str">
        <f aca="false">IFERROR(INDEX(Personel!$C:$C,MATCH(B234,Personel!$A:$A,0)),"")</f>
        <v/>
      </c>
      <c r="E234" s="52"/>
      <c r="F234" s="53"/>
      <c r="G234" s="53"/>
      <c r="H234" s="54" t="str">
        <f aca="false">IF(OR(F234="",G234=""),"",G234-F234+1-INT((G234-F234+WEEKDAY(F234,2))/7))</f>
        <v/>
      </c>
      <c r="I234" s="50"/>
      <c r="J234" s="52"/>
      <c r="K234" s="49" t="str">
        <f aca="false">IF(F234="","",YEAR(F234))</f>
        <v/>
      </c>
      <c r="L234" s="49" t="str">
        <f aca="false">IF(F234="","",MONTH(F234))</f>
        <v/>
      </c>
    </row>
    <row r="235" customFormat="false" ht="15" hidden="false" customHeight="false" outlineLevel="0" collapsed="false">
      <c r="A235" s="49" t="str">
        <f aca="false">IF(B235="","",ROW()-5)</f>
        <v/>
      </c>
      <c r="B235" s="50"/>
      <c r="C235" s="51" t="str">
        <f aca="false">IFERROR(INDEX(Personel!$B:$B,MATCH(B235,Personel!$A:$A,0)),"")</f>
        <v/>
      </c>
      <c r="D235" s="51" t="str">
        <f aca="false">IFERROR(INDEX(Personel!$C:$C,MATCH(B235,Personel!$A:$A,0)),"")</f>
        <v/>
      </c>
      <c r="E235" s="52"/>
      <c r="F235" s="53"/>
      <c r="G235" s="53"/>
      <c r="H235" s="54" t="str">
        <f aca="false">IF(OR(F235="",G235=""),"",G235-F235+1-INT((G235-F235+WEEKDAY(F235,2))/7))</f>
        <v/>
      </c>
      <c r="I235" s="50"/>
      <c r="J235" s="52"/>
      <c r="K235" s="49" t="str">
        <f aca="false">IF(F235="","",YEAR(F235))</f>
        <v/>
      </c>
      <c r="L235" s="49" t="str">
        <f aca="false">IF(F235="","",MONTH(F235))</f>
        <v/>
      </c>
    </row>
    <row r="236" customFormat="false" ht="15" hidden="false" customHeight="false" outlineLevel="0" collapsed="false">
      <c r="A236" s="49" t="str">
        <f aca="false">IF(B236="","",ROW()-5)</f>
        <v/>
      </c>
      <c r="B236" s="50"/>
      <c r="C236" s="51" t="str">
        <f aca="false">IFERROR(INDEX(Personel!$B:$B,MATCH(B236,Personel!$A:$A,0)),"")</f>
        <v/>
      </c>
      <c r="D236" s="51" t="str">
        <f aca="false">IFERROR(INDEX(Personel!$C:$C,MATCH(B236,Personel!$A:$A,0)),"")</f>
        <v/>
      </c>
      <c r="E236" s="52"/>
      <c r="F236" s="53"/>
      <c r="G236" s="53"/>
      <c r="H236" s="54" t="str">
        <f aca="false">IF(OR(F236="",G236=""),"",G236-F236+1-INT((G236-F236+WEEKDAY(F236,2))/7))</f>
        <v/>
      </c>
      <c r="I236" s="50"/>
      <c r="J236" s="52"/>
      <c r="K236" s="49" t="str">
        <f aca="false">IF(F236="","",YEAR(F236))</f>
        <v/>
      </c>
      <c r="L236" s="49" t="str">
        <f aca="false">IF(F236="","",MONTH(F236))</f>
        <v/>
      </c>
    </row>
    <row r="237" customFormat="false" ht="15" hidden="false" customHeight="false" outlineLevel="0" collapsed="false">
      <c r="A237" s="49" t="str">
        <f aca="false">IF(B237="","",ROW()-5)</f>
        <v/>
      </c>
      <c r="B237" s="50"/>
      <c r="C237" s="51" t="str">
        <f aca="false">IFERROR(INDEX(Personel!$B:$B,MATCH(B237,Personel!$A:$A,0)),"")</f>
        <v/>
      </c>
      <c r="D237" s="51" t="str">
        <f aca="false">IFERROR(INDEX(Personel!$C:$C,MATCH(B237,Personel!$A:$A,0)),"")</f>
        <v/>
      </c>
      <c r="E237" s="52"/>
      <c r="F237" s="53"/>
      <c r="G237" s="53"/>
      <c r="H237" s="54" t="str">
        <f aca="false">IF(OR(F237="",G237=""),"",G237-F237+1-INT((G237-F237+WEEKDAY(F237,2))/7))</f>
        <v/>
      </c>
      <c r="I237" s="50"/>
      <c r="J237" s="52"/>
      <c r="K237" s="49" t="str">
        <f aca="false">IF(F237="","",YEAR(F237))</f>
        <v/>
      </c>
      <c r="L237" s="49" t="str">
        <f aca="false">IF(F237="","",MONTH(F237))</f>
        <v/>
      </c>
    </row>
    <row r="238" customFormat="false" ht="15" hidden="false" customHeight="false" outlineLevel="0" collapsed="false">
      <c r="A238" s="49" t="str">
        <f aca="false">IF(B238="","",ROW()-5)</f>
        <v/>
      </c>
      <c r="B238" s="50"/>
      <c r="C238" s="51" t="str">
        <f aca="false">IFERROR(INDEX(Personel!$B:$B,MATCH(B238,Personel!$A:$A,0)),"")</f>
        <v/>
      </c>
      <c r="D238" s="51" t="str">
        <f aca="false">IFERROR(INDEX(Personel!$C:$C,MATCH(B238,Personel!$A:$A,0)),"")</f>
        <v/>
      </c>
      <c r="E238" s="52"/>
      <c r="F238" s="53"/>
      <c r="G238" s="53"/>
      <c r="H238" s="54" t="str">
        <f aca="false">IF(OR(F238="",G238=""),"",G238-F238+1-INT((G238-F238+WEEKDAY(F238,2))/7))</f>
        <v/>
      </c>
      <c r="I238" s="50"/>
      <c r="J238" s="52"/>
      <c r="K238" s="49" t="str">
        <f aca="false">IF(F238="","",YEAR(F238))</f>
        <v/>
      </c>
      <c r="L238" s="49" t="str">
        <f aca="false">IF(F238="","",MONTH(F238))</f>
        <v/>
      </c>
    </row>
    <row r="239" customFormat="false" ht="15" hidden="false" customHeight="false" outlineLevel="0" collapsed="false">
      <c r="A239" s="49" t="str">
        <f aca="false">IF(B239="","",ROW()-5)</f>
        <v/>
      </c>
      <c r="B239" s="50"/>
      <c r="C239" s="51" t="str">
        <f aca="false">IFERROR(INDEX(Personel!$B:$B,MATCH(B239,Personel!$A:$A,0)),"")</f>
        <v/>
      </c>
      <c r="D239" s="51" t="str">
        <f aca="false">IFERROR(INDEX(Personel!$C:$C,MATCH(B239,Personel!$A:$A,0)),"")</f>
        <v/>
      </c>
      <c r="E239" s="52"/>
      <c r="F239" s="53"/>
      <c r="G239" s="53"/>
      <c r="H239" s="54" t="str">
        <f aca="false">IF(OR(F239="",G239=""),"",G239-F239+1-INT((G239-F239+WEEKDAY(F239,2))/7))</f>
        <v/>
      </c>
      <c r="I239" s="50"/>
      <c r="J239" s="52"/>
      <c r="K239" s="49" t="str">
        <f aca="false">IF(F239="","",YEAR(F239))</f>
        <v/>
      </c>
      <c r="L239" s="49" t="str">
        <f aca="false">IF(F239="","",MONTH(F239))</f>
        <v/>
      </c>
    </row>
    <row r="240" customFormat="false" ht="15" hidden="false" customHeight="false" outlineLevel="0" collapsed="false">
      <c r="A240" s="49" t="str">
        <f aca="false">IF(B240="","",ROW()-5)</f>
        <v/>
      </c>
      <c r="B240" s="50"/>
      <c r="C240" s="51" t="str">
        <f aca="false">IFERROR(INDEX(Personel!$B:$B,MATCH(B240,Personel!$A:$A,0)),"")</f>
        <v/>
      </c>
      <c r="D240" s="51" t="str">
        <f aca="false">IFERROR(INDEX(Personel!$C:$C,MATCH(B240,Personel!$A:$A,0)),"")</f>
        <v/>
      </c>
      <c r="E240" s="52"/>
      <c r="F240" s="53"/>
      <c r="G240" s="53"/>
      <c r="H240" s="54" t="str">
        <f aca="false">IF(OR(F240="",G240=""),"",G240-F240+1-INT((G240-F240+WEEKDAY(F240,2))/7))</f>
        <v/>
      </c>
      <c r="I240" s="50"/>
      <c r="J240" s="52"/>
      <c r="K240" s="49" t="str">
        <f aca="false">IF(F240="","",YEAR(F240))</f>
        <v/>
      </c>
      <c r="L240" s="49" t="str">
        <f aca="false">IF(F240="","",MONTH(F240))</f>
        <v/>
      </c>
    </row>
    <row r="241" customFormat="false" ht="15" hidden="false" customHeight="false" outlineLevel="0" collapsed="false">
      <c r="A241" s="49" t="str">
        <f aca="false">IF(B241="","",ROW()-5)</f>
        <v/>
      </c>
      <c r="B241" s="50"/>
      <c r="C241" s="51" t="str">
        <f aca="false">IFERROR(INDEX(Personel!$B:$B,MATCH(B241,Personel!$A:$A,0)),"")</f>
        <v/>
      </c>
      <c r="D241" s="51" t="str">
        <f aca="false">IFERROR(INDEX(Personel!$C:$C,MATCH(B241,Personel!$A:$A,0)),"")</f>
        <v/>
      </c>
      <c r="E241" s="52"/>
      <c r="F241" s="53"/>
      <c r="G241" s="53"/>
      <c r="H241" s="54" t="str">
        <f aca="false">IF(OR(F241="",G241=""),"",G241-F241+1-INT((G241-F241+WEEKDAY(F241,2))/7))</f>
        <v/>
      </c>
      <c r="I241" s="50"/>
      <c r="J241" s="52"/>
      <c r="K241" s="49" t="str">
        <f aca="false">IF(F241="","",YEAR(F241))</f>
        <v/>
      </c>
      <c r="L241" s="49" t="str">
        <f aca="false">IF(F241="","",MONTH(F241))</f>
        <v/>
      </c>
    </row>
    <row r="242" customFormat="false" ht="15" hidden="false" customHeight="false" outlineLevel="0" collapsed="false">
      <c r="A242" s="49" t="str">
        <f aca="false">IF(B242="","",ROW()-5)</f>
        <v/>
      </c>
      <c r="B242" s="50"/>
      <c r="C242" s="51" t="str">
        <f aca="false">IFERROR(INDEX(Personel!$B:$B,MATCH(B242,Personel!$A:$A,0)),"")</f>
        <v/>
      </c>
      <c r="D242" s="51" t="str">
        <f aca="false">IFERROR(INDEX(Personel!$C:$C,MATCH(B242,Personel!$A:$A,0)),"")</f>
        <v/>
      </c>
      <c r="E242" s="52"/>
      <c r="F242" s="53"/>
      <c r="G242" s="53"/>
      <c r="H242" s="54" t="str">
        <f aca="false">IF(OR(F242="",G242=""),"",G242-F242+1-INT((G242-F242+WEEKDAY(F242,2))/7))</f>
        <v/>
      </c>
      <c r="I242" s="50"/>
      <c r="J242" s="52"/>
      <c r="K242" s="49" t="str">
        <f aca="false">IF(F242="","",YEAR(F242))</f>
        <v/>
      </c>
      <c r="L242" s="49" t="str">
        <f aca="false">IF(F242="","",MONTH(F242))</f>
        <v/>
      </c>
    </row>
    <row r="243" customFormat="false" ht="15" hidden="false" customHeight="false" outlineLevel="0" collapsed="false">
      <c r="A243" s="49" t="str">
        <f aca="false">IF(B243="","",ROW()-5)</f>
        <v/>
      </c>
      <c r="B243" s="50"/>
      <c r="C243" s="51" t="str">
        <f aca="false">IFERROR(INDEX(Personel!$B:$B,MATCH(B243,Personel!$A:$A,0)),"")</f>
        <v/>
      </c>
      <c r="D243" s="51" t="str">
        <f aca="false">IFERROR(INDEX(Personel!$C:$C,MATCH(B243,Personel!$A:$A,0)),"")</f>
        <v/>
      </c>
      <c r="E243" s="52"/>
      <c r="F243" s="53"/>
      <c r="G243" s="53"/>
      <c r="H243" s="54" t="str">
        <f aca="false">IF(OR(F243="",G243=""),"",G243-F243+1-INT((G243-F243+WEEKDAY(F243,2))/7))</f>
        <v/>
      </c>
      <c r="I243" s="50"/>
      <c r="J243" s="52"/>
      <c r="K243" s="49" t="str">
        <f aca="false">IF(F243="","",YEAR(F243))</f>
        <v/>
      </c>
      <c r="L243" s="49" t="str">
        <f aca="false">IF(F243="","",MONTH(F243))</f>
        <v/>
      </c>
    </row>
    <row r="244" customFormat="false" ht="15" hidden="false" customHeight="false" outlineLevel="0" collapsed="false">
      <c r="A244" s="49" t="str">
        <f aca="false">IF(B244="","",ROW()-5)</f>
        <v/>
      </c>
      <c r="B244" s="50"/>
      <c r="C244" s="51" t="str">
        <f aca="false">IFERROR(INDEX(Personel!$B:$B,MATCH(B244,Personel!$A:$A,0)),"")</f>
        <v/>
      </c>
      <c r="D244" s="51" t="str">
        <f aca="false">IFERROR(INDEX(Personel!$C:$C,MATCH(B244,Personel!$A:$A,0)),"")</f>
        <v/>
      </c>
      <c r="E244" s="52"/>
      <c r="F244" s="53"/>
      <c r="G244" s="53"/>
      <c r="H244" s="54" t="str">
        <f aca="false">IF(OR(F244="",G244=""),"",G244-F244+1-INT((G244-F244+WEEKDAY(F244,2))/7))</f>
        <v/>
      </c>
      <c r="I244" s="50"/>
      <c r="J244" s="52"/>
      <c r="K244" s="49" t="str">
        <f aca="false">IF(F244="","",YEAR(F244))</f>
        <v/>
      </c>
      <c r="L244" s="49" t="str">
        <f aca="false">IF(F244="","",MONTH(F244))</f>
        <v/>
      </c>
    </row>
    <row r="245" customFormat="false" ht="15" hidden="false" customHeight="false" outlineLevel="0" collapsed="false">
      <c r="A245" s="49" t="str">
        <f aca="false">IF(B245="","",ROW()-5)</f>
        <v/>
      </c>
      <c r="B245" s="50"/>
      <c r="C245" s="51" t="str">
        <f aca="false">IFERROR(INDEX(Personel!$B:$B,MATCH(B245,Personel!$A:$A,0)),"")</f>
        <v/>
      </c>
      <c r="D245" s="51" t="str">
        <f aca="false">IFERROR(INDEX(Personel!$C:$C,MATCH(B245,Personel!$A:$A,0)),"")</f>
        <v/>
      </c>
      <c r="E245" s="52"/>
      <c r="F245" s="53"/>
      <c r="G245" s="53"/>
      <c r="H245" s="54" t="str">
        <f aca="false">IF(OR(F245="",G245=""),"",G245-F245+1-INT((G245-F245+WEEKDAY(F245,2))/7))</f>
        <v/>
      </c>
      <c r="I245" s="50"/>
      <c r="J245" s="52"/>
      <c r="K245" s="49" t="str">
        <f aca="false">IF(F245="","",YEAR(F245))</f>
        <v/>
      </c>
      <c r="L245" s="49" t="str">
        <f aca="false">IF(F245="","",MONTH(F245))</f>
        <v/>
      </c>
    </row>
    <row r="246" customFormat="false" ht="15" hidden="false" customHeight="false" outlineLevel="0" collapsed="false">
      <c r="A246" s="49" t="str">
        <f aca="false">IF(B246="","",ROW()-5)</f>
        <v/>
      </c>
      <c r="B246" s="50"/>
      <c r="C246" s="51" t="str">
        <f aca="false">IFERROR(INDEX(Personel!$B:$B,MATCH(B246,Personel!$A:$A,0)),"")</f>
        <v/>
      </c>
      <c r="D246" s="51" t="str">
        <f aca="false">IFERROR(INDEX(Personel!$C:$C,MATCH(B246,Personel!$A:$A,0)),"")</f>
        <v/>
      </c>
      <c r="E246" s="52"/>
      <c r="F246" s="53"/>
      <c r="G246" s="53"/>
      <c r="H246" s="54" t="str">
        <f aca="false">IF(OR(F246="",G246=""),"",G246-F246+1-INT((G246-F246+WEEKDAY(F246,2))/7))</f>
        <v/>
      </c>
      <c r="I246" s="50"/>
      <c r="J246" s="52"/>
      <c r="K246" s="49" t="str">
        <f aca="false">IF(F246="","",YEAR(F246))</f>
        <v/>
      </c>
      <c r="L246" s="49" t="str">
        <f aca="false">IF(F246="","",MONTH(F246))</f>
        <v/>
      </c>
    </row>
    <row r="247" customFormat="false" ht="15" hidden="false" customHeight="false" outlineLevel="0" collapsed="false">
      <c r="A247" s="49" t="str">
        <f aca="false">IF(B247="","",ROW()-5)</f>
        <v/>
      </c>
      <c r="B247" s="50"/>
      <c r="C247" s="51" t="str">
        <f aca="false">IFERROR(INDEX(Personel!$B:$B,MATCH(B247,Personel!$A:$A,0)),"")</f>
        <v/>
      </c>
      <c r="D247" s="51" t="str">
        <f aca="false">IFERROR(INDEX(Personel!$C:$C,MATCH(B247,Personel!$A:$A,0)),"")</f>
        <v/>
      </c>
      <c r="E247" s="52"/>
      <c r="F247" s="53"/>
      <c r="G247" s="53"/>
      <c r="H247" s="54" t="str">
        <f aca="false">IF(OR(F247="",G247=""),"",G247-F247+1-INT((G247-F247+WEEKDAY(F247,2))/7))</f>
        <v/>
      </c>
      <c r="I247" s="50"/>
      <c r="J247" s="52"/>
      <c r="K247" s="49" t="str">
        <f aca="false">IF(F247="","",YEAR(F247))</f>
        <v/>
      </c>
      <c r="L247" s="49" t="str">
        <f aca="false">IF(F247="","",MONTH(F247))</f>
        <v/>
      </c>
    </row>
    <row r="248" customFormat="false" ht="15" hidden="false" customHeight="false" outlineLevel="0" collapsed="false">
      <c r="A248" s="49" t="str">
        <f aca="false">IF(B248="","",ROW()-5)</f>
        <v/>
      </c>
      <c r="B248" s="50"/>
      <c r="C248" s="51" t="str">
        <f aca="false">IFERROR(INDEX(Personel!$B:$B,MATCH(B248,Personel!$A:$A,0)),"")</f>
        <v/>
      </c>
      <c r="D248" s="51" t="str">
        <f aca="false">IFERROR(INDEX(Personel!$C:$C,MATCH(B248,Personel!$A:$A,0)),"")</f>
        <v/>
      </c>
      <c r="E248" s="52"/>
      <c r="F248" s="53"/>
      <c r="G248" s="53"/>
      <c r="H248" s="54" t="str">
        <f aca="false">IF(OR(F248="",G248=""),"",G248-F248+1-INT((G248-F248+WEEKDAY(F248,2))/7))</f>
        <v/>
      </c>
      <c r="I248" s="50"/>
      <c r="J248" s="52"/>
      <c r="K248" s="49" t="str">
        <f aca="false">IF(F248="","",YEAR(F248))</f>
        <v/>
      </c>
      <c r="L248" s="49" t="str">
        <f aca="false">IF(F248="","",MONTH(F248))</f>
        <v/>
      </c>
    </row>
    <row r="249" customFormat="false" ht="15" hidden="false" customHeight="false" outlineLevel="0" collapsed="false">
      <c r="A249" s="49" t="str">
        <f aca="false">IF(B249="","",ROW()-5)</f>
        <v/>
      </c>
      <c r="B249" s="50"/>
      <c r="C249" s="51" t="str">
        <f aca="false">IFERROR(INDEX(Personel!$B:$B,MATCH(B249,Personel!$A:$A,0)),"")</f>
        <v/>
      </c>
      <c r="D249" s="51" t="str">
        <f aca="false">IFERROR(INDEX(Personel!$C:$C,MATCH(B249,Personel!$A:$A,0)),"")</f>
        <v/>
      </c>
      <c r="E249" s="52"/>
      <c r="F249" s="53"/>
      <c r="G249" s="53"/>
      <c r="H249" s="54" t="str">
        <f aca="false">IF(OR(F249="",G249=""),"",G249-F249+1-INT((G249-F249+WEEKDAY(F249,2))/7))</f>
        <v/>
      </c>
      <c r="I249" s="50"/>
      <c r="J249" s="52"/>
      <c r="K249" s="49" t="str">
        <f aca="false">IF(F249="","",YEAR(F249))</f>
        <v/>
      </c>
      <c r="L249" s="49" t="str">
        <f aca="false">IF(F249="","",MONTH(F249))</f>
        <v/>
      </c>
    </row>
    <row r="250" customFormat="false" ht="15" hidden="false" customHeight="false" outlineLevel="0" collapsed="false">
      <c r="A250" s="49" t="str">
        <f aca="false">IF(B250="","",ROW()-5)</f>
        <v/>
      </c>
      <c r="B250" s="50"/>
      <c r="C250" s="51" t="str">
        <f aca="false">IFERROR(INDEX(Personel!$B:$B,MATCH(B250,Personel!$A:$A,0)),"")</f>
        <v/>
      </c>
      <c r="D250" s="51" t="str">
        <f aca="false">IFERROR(INDEX(Personel!$C:$C,MATCH(B250,Personel!$A:$A,0)),"")</f>
        <v/>
      </c>
      <c r="E250" s="52"/>
      <c r="F250" s="53"/>
      <c r="G250" s="53"/>
      <c r="H250" s="54" t="str">
        <f aca="false">IF(OR(F250="",G250=""),"",G250-F250+1-INT((G250-F250+WEEKDAY(F250,2))/7))</f>
        <v/>
      </c>
      <c r="I250" s="50"/>
      <c r="J250" s="52"/>
      <c r="K250" s="49" t="str">
        <f aca="false">IF(F250="","",YEAR(F250))</f>
        <v/>
      </c>
      <c r="L250" s="49" t="str">
        <f aca="false">IF(F250="","",MONTH(F250))</f>
        <v/>
      </c>
    </row>
    <row r="251" customFormat="false" ht="15" hidden="false" customHeight="false" outlineLevel="0" collapsed="false">
      <c r="A251" s="49" t="str">
        <f aca="false">IF(B251="","",ROW()-5)</f>
        <v/>
      </c>
      <c r="B251" s="50"/>
      <c r="C251" s="51" t="str">
        <f aca="false">IFERROR(INDEX(Personel!$B:$B,MATCH(B251,Personel!$A:$A,0)),"")</f>
        <v/>
      </c>
      <c r="D251" s="51" t="str">
        <f aca="false">IFERROR(INDEX(Personel!$C:$C,MATCH(B251,Personel!$A:$A,0)),"")</f>
        <v/>
      </c>
      <c r="E251" s="52"/>
      <c r="F251" s="53"/>
      <c r="G251" s="53"/>
      <c r="H251" s="54" t="str">
        <f aca="false">IF(OR(F251="",G251=""),"",G251-F251+1-INT((G251-F251+WEEKDAY(F251,2))/7))</f>
        <v/>
      </c>
      <c r="I251" s="50"/>
      <c r="J251" s="52"/>
      <c r="K251" s="49" t="str">
        <f aca="false">IF(F251="","",YEAR(F251))</f>
        <v/>
      </c>
      <c r="L251" s="49" t="str">
        <f aca="false">IF(F251="","",MONTH(F251))</f>
        <v/>
      </c>
    </row>
    <row r="252" customFormat="false" ht="15" hidden="false" customHeight="false" outlineLevel="0" collapsed="false">
      <c r="A252" s="49" t="str">
        <f aca="false">IF(B252="","",ROW()-5)</f>
        <v/>
      </c>
      <c r="B252" s="50"/>
      <c r="C252" s="51" t="str">
        <f aca="false">IFERROR(INDEX(Personel!$B:$B,MATCH(B252,Personel!$A:$A,0)),"")</f>
        <v/>
      </c>
      <c r="D252" s="51" t="str">
        <f aca="false">IFERROR(INDEX(Personel!$C:$C,MATCH(B252,Personel!$A:$A,0)),"")</f>
        <v/>
      </c>
      <c r="E252" s="52"/>
      <c r="F252" s="53"/>
      <c r="G252" s="53"/>
      <c r="H252" s="54" t="str">
        <f aca="false">IF(OR(F252="",G252=""),"",G252-F252+1-INT((G252-F252+WEEKDAY(F252,2))/7))</f>
        <v/>
      </c>
      <c r="I252" s="50"/>
      <c r="J252" s="52"/>
      <c r="K252" s="49" t="str">
        <f aca="false">IF(F252="","",YEAR(F252))</f>
        <v/>
      </c>
      <c r="L252" s="49" t="str">
        <f aca="false">IF(F252="","",MONTH(F252))</f>
        <v/>
      </c>
    </row>
    <row r="253" customFormat="false" ht="15" hidden="false" customHeight="false" outlineLevel="0" collapsed="false">
      <c r="A253" s="49" t="str">
        <f aca="false">IF(B253="","",ROW()-5)</f>
        <v/>
      </c>
      <c r="B253" s="50"/>
      <c r="C253" s="51" t="str">
        <f aca="false">IFERROR(INDEX(Personel!$B:$B,MATCH(B253,Personel!$A:$A,0)),"")</f>
        <v/>
      </c>
      <c r="D253" s="51" t="str">
        <f aca="false">IFERROR(INDEX(Personel!$C:$C,MATCH(B253,Personel!$A:$A,0)),"")</f>
        <v/>
      </c>
      <c r="E253" s="52"/>
      <c r="F253" s="53"/>
      <c r="G253" s="53"/>
      <c r="H253" s="54" t="str">
        <f aca="false">IF(OR(F253="",G253=""),"",G253-F253+1-INT((G253-F253+WEEKDAY(F253,2))/7))</f>
        <v/>
      </c>
      <c r="I253" s="50"/>
      <c r="J253" s="52"/>
      <c r="K253" s="49" t="str">
        <f aca="false">IF(F253="","",YEAR(F253))</f>
        <v/>
      </c>
      <c r="L253" s="49" t="str">
        <f aca="false">IF(F253="","",MONTH(F253))</f>
        <v/>
      </c>
    </row>
    <row r="254" customFormat="false" ht="15" hidden="false" customHeight="false" outlineLevel="0" collapsed="false">
      <c r="A254" s="49" t="str">
        <f aca="false">IF(B254="","",ROW()-5)</f>
        <v/>
      </c>
      <c r="B254" s="50"/>
      <c r="C254" s="51" t="str">
        <f aca="false">IFERROR(INDEX(Personel!$B:$B,MATCH(B254,Personel!$A:$A,0)),"")</f>
        <v/>
      </c>
      <c r="D254" s="51" t="str">
        <f aca="false">IFERROR(INDEX(Personel!$C:$C,MATCH(B254,Personel!$A:$A,0)),"")</f>
        <v/>
      </c>
      <c r="E254" s="52"/>
      <c r="F254" s="53"/>
      <c r="G254" s="53"/>
      <c r="H254" s="54" t="str">
        <f aca="false">IF(OR(F254="",G254=""),"",G254-F254+1-INT((G254-F254+WEEKDAY(F254,2))/7))</f>
        <v/>
      </c>
      <c r="I254" s="50"/>
      <c r="J254" s="52"/>
      <c r="K254" s="49" t="str">
        <f aca="false">IF(F254="","",YEAR(F254))</f>
        <v/>
      </c>
      <c r="L254" s="49" t="str">
        <f aca="false">IF(F254="","",MONTH(F254))</f>
        <v/>
      </c>
    </row>
    <row r="255" customFormat="false" ht="15" hidden="false" customHeight="false" outlineLevel="0" collapsed="false">
      <c r="A255" s="49" t="str">
        <f aca="false">IF(B255="","",ROW()-5)</f>
        <v/>
      </c>
      <c r="B255" s="50"/>
      <c r="C255" s="51" t="str">
        <f aca="false">IFERROR(INDEX(Personel!$B:$B,MATCH(B255,Personel!$A:$A,0)),"")</f>
        <v/>
      </c>
      <c r="D255" s="51" t="str">
        <f aca="false">IFERROR(INDEX(Personel!$C:$C,MATCH(B255,Personel!$A:$A,0)),"")</f>
        <v/>
      </c>
      <c r="E255" s="52"/>
      <c r="F255" s="53"/>
      <c r="G255" s="53"/>
      <c r="H255" s="54" t="str">
        <f aca="false">IF(OR(F255="",G255=""),"",G255-F255+1-INT((G255-F255+WEEKDAY(F255,2))/7))</f>
        <v/>
      </c>
      <c r="I255" s="50"/>
      <c r="J255" s="52"/>
      <c r="K255" s="49" t="str">
        <f aca="false">IF(F255="","",YEAR(F255))</f>
        <v/>
      </c>
      <c r="L255" s="49" t="str">
        <f aca="false">IF(F255="","",MONTH(F255))</f>
        <v/>
      </c>
    </row>
    <row r="256" customFormat="false" ht="15" hidden="false" customHeight="false" outlineLevel="0" collapsed="false">
      <c r="A256" s="49" t="str">
        <f aca="false">IF(B256="","",ROW()-5)</f>
        <v/>
      </c>
      <c r="B256" s="50"/>
      <c r="C256" s="51" t="str">
        <f aca="false">IFERROR(INDEX(Personel!$B:$B,MATCH(B256,Personel!$A:$A,0)),"")</f>
        <v/>
      </c>
      <c r="D256" s="51" t="str">
        <f aca="false">IFERROR(INDEX(Personel!$C:$C,MATCH(B256,Personel!$A:$A,0)),"")</f>
        <v/>
      </c>
      <c r="E256" s="52"/>
      <c r="F256" s="53"/>
      <c r="G256" s="53"/>
      <c r="H256" s="54" t="str">
        <f aca="false">IF(OR(F256="",G256=""),"",G256-F256+1-INT((G256-F256+WEEKDAY(F256,2))/7))</f>
        <v/>
      </c>
      <c r="I256" s="50"/>
      <c r="J256" s="52"/>
      <c r="K256" s="49" t="str">
        <f aca="false">IF(F256="","",YEAR(F256))</f>
        <v/>
      </c>
      <c r="L256" s="49" t="str">
        <f aca="false">IF(F256="","",MONTH(F256))</f>
        <v/>
      </c>
    </row>
    <row r="257" customFormat="false" ht="15" hidden="false" customHeight="false" outlineLevel="0" collapsed="false">
      <c r="A257" s="49" t="str">
        <f aca="false">IF(B257="","",ROW()-5)</f>
        <v/>
      </c>
      <c r="B257" s="50"/>
      <c r="C257" s="51" t="str">
        <f aca="false">IFERROR(INDEX(Personel!$B:$B,MATCH(B257,Personel!$A:$A,0)),"")</f>
        <v/>
      </c>
      <c r="D257" s="51" t="str">
        <f aca="false">IFERROR(INDEX(Personel!$C:$C,MATCH(B257,Personel!$A:$A,0)),"")</f>
        <v/>
      </c>
      <c r="E257" s="52"/>
      <c r="F257" s="53"/>
      <c r="G257" s="53"/>
      <c r="H257" s="54" t="str">
        <f aca="false">IF(OR(F257="",G257=""),"",G257-F257+1-INT((G257-F257+WEEKDAY(F257,2))/7))</f>
        <v/>
      </c>
      <c r="I257" s="50"/>
      <c r="J257" s="52"/>
      <c r="K257" s="49" t="str">
        <f aca="false">IF(F257="","",YEAR(F257))</f>
        <v/>
      </c>
      <c r="L257" s="49" t="str">
        <f aca="false">IF(F257="","",MONTH(F257))</f>
        <v/>
      </c>
    </row>
    <row r="258" customFormat="false" ht="15" hidden="false" customHeight="false" outlineLevel="0" collapsed="false">
      <c r="A258" s="49" t="str">
        <f aca="false">IF(B258="","",ROW()-5)</f>
        <v/>
      </c>
      <c r="B258" s="50"/>
      <c r="C258" s="51" t="str">
        <f aca="false">IFERROR(INDEX(Personel!$B:$B,MATCH(B258,Personel!$A:$A,0)),"")</f>
        <v/>
      </c>
      <c r="D258" s="51" t="str">
        <f aca="false">IFERROR(INDEX(Personel!$C:$C,MATCH(B258,Personel!$A:$A,0)),"")</f>
        <v/>
      </c>
      <c r="E258" s="52"/>
      <c r="F258" s="53"/>
      <c r="G258" s="53"/>
      <c r="H258" s="54" t="str">
        <f aca="false">IF(OR(F258="",G258=""),"",G258-F258+1-INT((G258-F258+WEEKDAY(F258,2))/7))</f>
        <v/>
      </c>
      <c r="I258" s="50"/>
      <c r="J258" s="52"/>
      <c r="K258" s="49" t="str">
        <f aca="false">IF(F258="","",YEAR(F258))</f>
        <v/>
      </c>
      <c r="L258" s="49" t="str">
        <f aca="false">IF(F258="","",MONTH(F258))</f>
        <v/>
      </c>
    </row>
    <row r="259" customFormat="false" ht="15" hidden="false" customHeight="false" outlineLevel="0" collapsed="false">
      <c r="A259" s="49" t="str">
        <f aca="false">IF(B259="","",ROW()-5)</f>
        <v/>
      </c>
      <c r="B259" s="50"/>
      <c r="C259" s="51" t="str">
        <f aca="false">IFERROR(INDEX(Personel!$B:$B,MATCH(B259,Personel!$A:$A,0)),"")</f>
        <v/>
      </c>
      <c r="D259" s="51" t="str">
        <f aca="false">IFERROR(INDEX(Personel!$C:$C,MATCH(B259,Personel!$A:$A,0)),"")</f>
        <v/>
      </c>
      <c r="E259" s="52"/>
      <c r="F259" s="53"/>
      <c r="G259" s="53"/>
      <c r="H259" s="54" t="str">
        <f aca="false">IF(OR(F259="",G259=""),"",G259-F259+1-INT((G259-F259+WEEKDAY(F259,2))/7))</f>
        <v/>
      </c>
      <c r="I259" s="50"/>
      <c r="J259" s="52"/>
      <c r="K259" s="49" t="str">
        <f aca="false">IF(F259="","",YEAR(F259))</f>
        <v/>
      </c>
      <c r="L259" s="49" t="str">
        <f aca="false">IF(F259="","",MONTH(F259))</f>
        <v/>
      </c>
    </row>
    <row r="260" customFormat="false" ht="15" hidden="false" customHeight="false" outlineLevel="0" collapsed="false">
      <c r="A260" s="49" t="str">
        <f aca="false">IF(B260="","",ROW()-5)</f>
        <v/>
      </c>
      <c r="B260" s="50"/>
      <c r="C260" s="51" t="str">
        <f aca="false">IFERROR(INDEX(Personel!$B:$B,MATCH(B260,Personel!$A:$A,0)),"")</f>
        <v/>
      </c>
      <c r="D260" s="51" t="str">
        <f aca="false">IFERROR(INDEX(Personel!$C:$C,MATCH(B260,Personel!$A:$A,0)),"")</f>
        <v/>
      </c>
      <c r="E260" s="52"/>
      <c r="F260" s="53"/>
      <c r="G260" s="53"/>
      <c r="H260" s="54" t="str">
        <f aca="false">IF(OR(F260="",G260=""),"",G260-F260+1-INT((G260-F260+WEEKDAY(F260,2))/7))</f>
        <v/>
      </c>
      <c r="I260" s="50"/>
      <c r="J260" s="52"/>
      <c r="K260" s="49" t="str">
        <f aca="false">IF(F260="","",YEAR(F260))</f>
        <v/>
      </c>
      <c r="L260" s="49" t="str">
        <f aca="false">IF(F260="","",MONTH(F260))</f>
        <v/>
      </c>
    </row>
    <row r="261" customFormat="false" ht="15" hidden="false" customHeight="false" outlineLevel="0" collapsed="false">
      <c r="A261" s="49" t="str">
        <f aca="false">IF(B261="","",ROW()-5)</f>
        <v/>
      </c>
      <c r="B261" s="50"/>
      <c r="C261" s="51" t="str">
        <f aca="false">IFERROR(INDEX(Personel!$B:$B,MATCH(B261,Personel!$A:$A,0)),"")</f>
        <v/>
      </c>
      <c r="D261" s="51" t="str">
        <f aca="false">IFERROR(INDEX(Personel!$C:$C,MATCH(B261,Personel!$A:$A,0)),"")</f>
        <v/>
      </c>
      <c r="E261" s="52"/>
      <c r="F261" s="53"/>
      <c r="G261" s="53"/>
      <c r="H261" s="54" t="str">
        <f aca="false">IF(OR(F261="",G261=""),"",G261-F261+1-INT((G261-F261+WEEKDAY(F261,2))/7))</f>
        <v/>
      </c>
      <c r="I261" s="50"/>
      <c r="J261" s="52"/>
      <c r="K261" s="49" t="str">
        <f aca="false">IF(F261="","",YEAR(F261))</f>
        <v/>
      </c>
      <c r="L261" s="49" t="str">
        <f aca="false">IF(F261="","",MONTH(F261))</f>
        <v/>
      </c>
    </row>
    <row r="262" customFormat="false" ht="15" hidden="false" customHeight="false" outlineLevel="0" collapsed="false">
      <c r="A262" s="49" t="str">
        <f aca="false">IF(B262="","",ROW()-5)</f>
        <v/>
      </c>
      <c r="B262" s="50"/>
      <c r="C262" s="51" t="str">
        <f aca="false">IFERROR(INDEX(Personel!$B:$B,MATCH(B262,Personel!$A:$A,0)),"")</f>
        <v/>
      </c>
      <c r="D262" s="51" t="str">
        <f aca="false">IFERROR(INDEX(Personel!$C:$C,MATCH(B262,Personel!$A:$A,0)),"")</f>
        <v/>
      </c>
      <c r="E262" s="52"/>
      <c r="F262" s="53"/>
      <c r="G262" s="53"/>
      <c r="H262" s="54" t="str">
        <f aca="false">IF(OR(F262="",G262=""),"",G262-F262+1-INT((G262-F262+WEEKDAY(F262,2))/7))</f>
        <v/>
      </c>
      <c r="I262" s="50"/>
      <c r="J262" s="52"/>
      <c r="K262" s="49" t="str">
        <f aca="false">IF(F262="","",YEAR(F262))</f>
        <v/>
      </c>
      <c r="L262" s="49" t="str">
        <f aca="false">IF(F262="","",MONTH(F262))</f>
        <v/>
      </c>
    </row>
    <row r="263" customFormat="false" ht="15" hidden="false" customHeight="false" outlineLevel="0" collapsed="false">
      <c r="A263" s="49" t="str">
        <f aca="false">IF(B263="","",ROW()-5)</f>
        <v/>
      </c>
      <c r="B263" s="50"/>
      <c r="C263" s="51" t="str">
        <f aca="false">IFERROR(INDEX(Personel!$B:$B,MATCH(B263,Personel!$A:$A,0)),"")</f>
        <v/>
      </c>
      <c r="D263" s="51" t="str">
        <f aca="false">IFERROR(INDEX(Personel!$C:$C,MATCH(B263,Personel!$A:$A,0)),"")</f>
        <v/>
      </c>
      <c r="E263" s="52"/>
      <c r="F263" s="53"/>
      <c r="G263" s="53"/>
      <c r="H263" s="54" t="str">
        <f aca="false">IF(OR(F263="",G263=""),"",G263-F263+1-INT((G263-F263+WEEKDAY(F263,2))/7))</f>
        <v/>
      </c>
      <c r="I263" s="50"/>
      <c r="J263" s="52"/>
      <c r="K263" s="49" t="str">
        <f aca="false">IF(F263="","",YEAR(F263))</f>
        <v/>
      </c>
      <c r="L263" s="49" t="str">
        <f aca="false">IF(F263="","",MONTH(F263))</f>
        <v/>
      </c>
    </row>
    <row r="264" customFormat="false" ht="15" hidden="false" customHeight="false" outlineLevel="0" collapsed="false">
      <c r="A264" s="49" t="str">
        <f aca="false">IF(B264="","",ROW()-5)</f>
        <v/>
      </c>
      <c r="B264" s="50"/>
      <c r="C264" s="51" t="str">
        <f aca="false">IFERROR(INDEX(Personel!$B:$B,MATCH(B264,Personel!$A:$A,0)),"")</f>
        <v/>
      </c>
      <c r="D264" s="51" t="str">
        <f aca="false">IFERROR(INDEX(Personel!$C:$C,MATCH(B264,Personel!$A:$A,0)),"")</f>
        <v/>
      </c>
      <c r="E264" s="52"/>
      <c r="F264" s="53"/>
      <c r="G264" s="53"/>
      <c r="H264" s="54" t="str">
        <f aca="false">IF(OR(F264="",G264=""),"",G264-F264+1-INT((G264-F264+WEEKDAY(F264,2))/7))</f>
        <v/>
      </c>
      <c r="I264" s="50"/>
      <c r="J264" s="52"/>
      <c r="K264" s="49" t="str">
        <f aca="false">IF(F264="","",YEAR(F264))</f>
        <v/>
      </c>
      <c r="L264" s="49" t="str">
        <f aca="false">IF(F264="","",MONTH(F264))</f>
        <v/>
      </c>
    </row>
    <row r="265" customFormat="false" ht="15" hidden="false" customHeight="false" outlineLevel="0" collapsed="false">
      <c r="A265" s="49" t="str">
        <f aca="false">IF(B265="","",ROW()-5)</f>
        <v/>
      </c>
      <c r="B265" s="50"/>
      <c r="C265" s="51" t="str">
        <f aca="false">IFERROR(INDEX(Personel!$B:$B,MATCH(B265,Personel!$A:$A,0)),"")</f>
        <v/>
      </c>
      <c r="D265" s="51" t="str">
        <f aca="false">IFERROR(INDEX(Personel!$C:$C,MATCH(B265,Personel!$A:$A,0)),"")</f>
        <v/>
      </c>
      <c r="E265" s="52"/>
      <c r="F265" s="53"/>
      <c r="G265" s="53"/>
      <c r="H265" s="54" t="str">
        <f aca="false">IF(OR(F265="",G265=""),"",G265-F265+1-INT((G265-F265+WEEKDAY(F265,2))/7))</f>
        <v/>
      </c>
      <c r="I265" s="50"/>
      <c r="J265" s="52"/>
      <c r="K265" s="49" t="str">
        <f aca="false">IF(F265="","",YEAR(F265))</f>
        <v/>
      </c>
      <c r="L265" s="49" t="str">
        <f aca="false">IF(F265="","",MONTH(F265))</f>
        <v/>
      </c>
    </row>
    <row r="266" customFormat="false" ht="15" hidden="false" customHeight="false" outlineLevel="0" collapsed="false">
      <c r="A266" s="49" t="str">
        <f aca="false">IF(B266="","",ROW()-5)</f>
        <v/>
      </c>
      <c r="B266" s="50"/>
      <c r="C266" s="51" t="str">
        <f aca="false">IFERROR(INDEX(Personel!$B:$B,MATCH(B266,Personel!$A:$A,0)),"")</f>
        <v/>
      </c>
      <c r="D266" s="51" t="str">
        <f aca="false">IFERROR(INDEX(Personel!$C:$C,MATCH(B266,Personel!$A:$A,0)),"")</f>
        <v/>
      </c>
      <c r="E266" s="52"/>
      <c r="F266" s="53"/>
      <c r="G266" s="53"/>
      <c r="H266" s="54" t="str">
        <f aca="false">IF(OR(F266="",G266=""),"",G266-F266+1-INT((G266-F266+WEEKDAY(F266,2))/7))</f>
        <v/>
      </c>
      <c r="I266" s="50"/>
      <c r="J266" s="52"/>
      <c r="K266" s="49" t="str">
        <f aca="false">IF(F266="","",YEAR(F266))</f>
        <v/>
      </c>
      <c r="L266" s="49" t="str">
        <f aca="false">IF(F266="","",MONTH(F266))</f>
        <v/>
      </c>
    </row>
    <row r="267" customFormat="false" ht="15" hidden="false" customHeight="false" outlineLevel="0" collapsed="false">
      <c r="A267" s="49" t="str">
        <f aca="false">IF(B267="","",ROW()-5)</f>
        <v/>
      </c>
      <c r="B267" s="50"/>
      <c r="C267" s="51" t="str">
        <f aca="false">IFERROR(INDEX(Personel!$B:$B,MATCH(B267,Personel!$A:$A,0)),"")</f>
        <v/>
      </c>
      <c r="D267" s="51" t="str">
        <f aca="false">IFERROR(INDEX(Personel!$C:$C,MATCH(B267,Personel!$A:$A,0)),"")</f>
        <v/>
      </c>
      <c r="E267" s="52"/>
      <c r="F267" s="53"/>
      <c r="G267" s="53"/>
      <c r="H267" s="54" t="str">
        <f aca="false">IF(OR(F267="",G267=""),"",G267-F267+1-INT((G267-F267+WEEKDAY(F267,2))/7))</f>
        <v/>
      </c>
      <c r="I267" s="50"/>
      <c r="J267" s="52"/>
      <c r="K267" s="49" t="str">
        <f aca="false">IF(F267="","",YEAR(F267))</f>
        <v/>
      </c>
      <c r="L267" s="49" t="str">
        <f aca="false">IF(F267="","",MONTH(F267))</f>
        <v/>
      </c>
    </row>
    <row r="268" customFormat="false" ht="15" hidden="false" customHeight="false" outlineLevel="0" collapsed="false">
      <c r="A268" s="49" t="str">
        <f aca="false">IF(B268="","",ROW()-5)</f>
        <v/>
      </c>
      <c r="B268" s="50"/>
      <c r="C268" s="51" t="str">
        <f aca="false">IFERROR(INDEX(Personel!$B:$B,MATCH(B268,Personel!$A:$A,0)),"")</f>
        <v/>
      </c>
      <c r="D268" s="51" t="str">
        <f aca="false">IFERROR(INDEX(Personel!$C:$C,MATCH(B268,Personel!$A:$A,0)),"")</f>
        <v/>
      </c>
      <c r="E268" s="52"/>
      <c r="F268" s="53"/>
      <c r="G268" s="53"/>
      <c r="H268" s="54" t="str">
        <f aca="false">IF(OR(F268="",G268=""),"",G268-F268+1-INT((G268-F268+WEEKDAY(F268,2))/7))</f>
        <v/>
      </c>
      <c r="I268" s="50"/>
      <c r="J268" s="52"/>
      <c r="K268" s="49" t="str">
        <f aca="false">IF(F268="","",YEAR(F268))</f>
        <v/>
      </c>
      <c r="L268" s="49" t="str">
        <f aca="false">IF(F268="","",MONTH(F268))</f>
        <v/>
      </c>
    </row>
    <row r="269" customFormat="false" ht="15" hidden="false" customHeight="false" outlineLevel="0" collapsed="false">
      <c r="A269" s="49" t="str">
        <f aca="false">IF(B269="","",ROW()-5)</f>
        <v/>
      </c>
      <c r="B269" s="50"/>
      <c r="C269" s="51" t="str">
        <f aca="false">IFERROR(INDEX(Personel!$B:$B,MATCH(B269,Personel!$A:$A,0)),"")</f>
        <v/>
      </c>
      <c r="D269" s="51" t="str">
        <f aca="false">IFERROR(INDEX(Personel!$C:$C,MATCH(B269,Personel!$A:$A,0)),"")</f>
        <v/>
      </c>
      <c r="E269" s="52"/>
      <c r="F269" s="53"/>
      <c r="G269" s="53"/>
      <c r="H269" s="54" t="str">
        <f aca="false">IF(OR(F269="",G269=""),"",G269-F269+1-INT((G269-F269+WEEKDAY(F269,2))/7))</f>
        <v/>
      </c>
      <c r="I269" s="50"/>
      <c r="J269" s="52"/>
      <c r="K269" s="49" t="str">
        <f aca="false">IF(F269="","",YEAR(F269))</f>
        <v/>
      </c>
      <c r="L269" s="49" t="str">
        <f aca="false">IF(F269="","",MONTH(F269))</f>
        <v/>
      </c>
    </row>
    <row r="270" customFormat="false" ht="15" hidden="false" customHeight="false" outlineLevel="0" collapsed="false">
      <c r="A270" s="49" t="str">
        <f aca="false">IF(B270="","",ROW()-5)</f>
        <v/>
      </c>
      <c r="B270" s="50"/>
      <c r="C270" s="51" t="str">
        <f aca="false">IFERROR(INDEX(Personel!$B:$B,MATCH(B270,Personel!$A:$A,0)),"")</f>
        <v/>
      </c>
      <c r="D270" s="51" t="str">
        <f aca="false">IFERROR(INDEX(Personel!$C:$C,MATCH(B270,Personel!$A:$A,0)),"")</f>
        <v/>
      </c>
      <c r="E270" s="52"/>
      <c r="F270" s="53"/>
      <c r="G270" s="53"/>
      <c r="H270" s="54" t="str">
        <f aca="false">IF(OR(F270="",G270=""),"",G270-F270+1-INT((G270-F270+WEEKDAY(F270,2))/7))</f>
        <v/>
      </c>
      <c r="I270" s="50"/>
      <c r="J270" s="52"/>
      <c r="K270" s="49" t="str">
        <f aca="false">IF(F270="","",YEAR(F270))</f>
        <v/>
      </c>
      <c r="L270" s="49" t="str">
        <f aca="false">IF(F270="","",MONTH(F270))</f>
        <v/>
      </c>
    </row>
    <row r="271" customFormat="false" ht="15" hidden="false" customHeight="false" outlineLevel="0" collapsed="false">
      <c r="A271" s="49" t="str">
        <f aca="false">IF(B271="","",ROW()-5)</f>
        <v/>
      </c>
      <c r="B271" s="50"/>
      <c r="C271" s="51" t="str">
        <f aca="false">IFERROR(INDEX(Personel!$B:$B,MATCH(B271,Personel!$A:$A,0)),"")</f>
        <v/>
      </c>
      <c r="D271" s="51" t="str">
        <f aca="false">IFERROR(INDEX(Personel!$C:$C,MATCH(B271,Personel!$A:$A,0)),"")</f>
        <v/>
      </c>
      <c r="E271" s="52"/>
      <c r="F271" s="53"/>
      <c r="G271" s="53"/>
      <c r="H271" s="54" t="str">
        <f aca="false">IF(OR(F271="",G271=""),"",G271-F271+1-INT((G271-F271+WEEKDAY(F271,2))/7))</f>
        <v/>
      </c>
      <c r="I271" s="50"/>
      <c r="J271" s="52"/>
      <c r="K271" s="49" t="str">
        <f aca="false">IF(F271="","",YEAR(F271))</f>
        <v/>
      </c>
      <c r="L271" s="49" t="str">
        <f aca="false">IF(F271="","",MONTH(F271))</f>
        <v/>
      </c>
    </row>
    <row r="272" customFormat="false" ht="15" hidden="false" customHeight="false" outlineLevel="0" collapsed="false">
      <c r="A272" s="49" t="str">
        <f aca="false">IF(B272="","",ROW()-5)</f>
        <v/>
      </c>
      <c r="B272" s="50"/>
      <c r="C272" s="51" t="str">
        <f aca="false">IFERROR(INDEX(Personel!$B:$B,MATCH(B272,Personel!$A:$A,0)),"")</f>
        <v/>
      </c>
      <c r="D272" s="51" t="str">
        <f aca="false">IFERROR(INDEX(Personel!$C:$C,MATCH(B272,Personel!$A:$A,0)),"")</f>
        <v/>
      </c>
      <c r="E272" s="52"/>
      <c r="F272" s="53"/>
      <c r="G272" s="53"/>
      <c r="H272" s="54" t="str">
        <f aca="false">IF(OR(F272="",G272=""),"",G272-F272+1-INT((G272-F272+WEEKDAY(F272,2))/7))</f>
        <v/>
      </c>
      <c r="I272" s="50"/>
      <c r="J272" s="52"/>
      <c r="K272" s="49" t="str">
        <f aca="false">IF(F272="","",YEAR(F272))</f>
        <v/>
      </c>
      <c r="L272" s="49" t="str">
        <f aca="false">IF(F272="","",MONTH(F272))</f>
        <v/>
      </c>
    </row>
    <row r="273" customFormat="false" ht="15" hidden="false" customHeight="false" outlineLevel="0" collapsed="false">
      <c r="A273" s="49" t="str">
        <f aca="false">IF(B273="","",ROW()-5)</f>
        <v/>
      </c>
      <c r="B273" s="50"/>
      <c r="C273" s="51" t="str">
        <f aca="false">IFERROR(INDEX(Personel!$B:$B,MATCH(B273,Personel!$A:$A,0)),"")</f>
        <v/>
      </c>
      <c r="D273" s="51" t="str">
        <f aca="false">IFERROR(INDEX(Personel!$C:$C,MATCH(B273,Personel!$A:$A,0)),"")</f>
        <v/>
      </c>
      <c r="E273" s="52"/>
      <c r="F273" s="53"/>
      <c r="G273" s="53"/>
      <c r="H273" s="54" t="str">
        <f aca="false">IF(OR(F273="",G273=""),"",G273-F273+1-INT((G273-F273+WEEKDAY(F273,2))/7))</f>
        <v/>
      </c>
      <c r="I273" s="50"/>
      <c r="J273" s="52"/>
      <c r="K273" s="49" t="str">
        <f aca="false">IF(F273="","",YEAR(F273))</f>
        <v/>
      </c>
      <c r="L273" s="49" t="str">
        <f aca="false">IF(F273="","",MONTH(F273))</f>
        <v/>
      </c>
    </row>
    <row r="274" customFormat="false" ht="15" hidden="false" customHeight="false" outlineLevel="0" collapsed="false">
      <c r="A274" s="49" t="str">
        <f aca="false">IF(B274="","",ROW()-5)</f>
        <v/>
      </c>
      <c r="B274" s="50"/>
      <c r="C274" s="51" t="str">
        <f aca="false">IFERROR(INDEX(Personel!$B:$B,MATCH(B274,Personel!$A:$A,0)),"")</f>
        <v/>
      </c>
      <c r="D274" s="51" t="str">
        <f aca="false">IFERROR(INDEX(Personel!$C:$C,MATCH(B274,Personel!$A:$A,0)),"")</f>
        <v/>
      </c>
      <c r="E274" s="52"/>
      <c r="F274" s="53"/>
      <c r="G274" s="53"/>
      <c r="H274" s="54" t="str">
        <f aca="false">IF(OR(F274="",G274=""),"",G274-F274+1-INT((G274-F274+WEEKDAY(F274,2))/7))</f>
        <v/>
      </c>
      <c r="I274" s="50"/>
      <c r="J274" s="52"/>
      <c r="K274" s="49" t="str">
        <f aca="false">IF(F274="","",YEAR(F274))</f>
        <v/>
      </c>
      <c r="L274" s="49" t="str">
        <f aca="false">IF(F274="","",MONTH(F274))</f>
        <v/>
      </c>
    </row>
    <row r="275" customFormat="false" ht="15" hidden="false" customHeight="false" outlineLevel="0" collapsed="false">
      <c r="A275" s="49" t="str">
        <f aca="false">IF(B275="","",ROW()-5)</f>
        <v/>
      </c>
      <c r="B275" s="50"/>
      <c r="C275" s="51" t="str">
        <f aca="false">IFERROR(INDEX(Personel!$B:$B,MATCH(B275,Personel!$A:$A,0)),"")</f>
        <v/>
      </c>
      <c r="D275" s="51" t="str">
        <f aca="false">IFERROR(INDEX(Personel!$C:$C,MATCH(B275,Personel!$A:$A,0)),"")</f>
        <v/>
      </c>
      <c r="E275" s="52"/>
      <c r="F275" s="53"/>
      <c r="G275" s="53"/>
      <c r="H275" s="54" t="str">
        <f aca="false">IF(OR(F275="",G275=""),"",G275-F275+1-INT((G275-F275+WEEKDAY(F275,2))/7))</f>
        <v/>
      </c>
      <c r="I275" s="50"/>
      <c r="J275" s="52"/>
      <c r="K275" s="49" t="str">
        <f aca="false">IF(F275="","",YEAR(F275))</f>
        <v/>
      </c>
      <c r="L275" s="49" t="str">
        <f aca="false">IF(F275="","",MONTH(F275))</f>
        <v/>
      </c>
    </row>
    <row r="276" customFormat="false" ht="15" hidden="false" customHeight="false" outlineLevel="0" collapsed="false">
      <c r="A276" s="49" t="str">
        <f aca="false">IF(B276="","",ROW()-5)</f>
        <v/>
      </c>
      <c r="B276" s="50"/>
      <c r="C276" s="51" t="str">
        <f aca="false">IFERROR(INDEX(Personel!$B:$B,MATCH(B276,Personel!$A:$A,0)),"")</f>
        <v/>
      </c>
      <c r="D276" s="51" t="str">
        <f aca="false">IFERROR(INDEX(Personel!$C:$C,MATCH(B276,Personel!$A:$A,0)),"")</f>
        <v/>
      </c>
      <c r="E276" s="52"/>
      <c r="F276" s="53"/>
      <c r="G276" s="53"/>
      <c r="H276" s="54" t="str">
        <f aca="false">IF(OR(F276="",G276=""),"",G276-F276+1-INT((G276-F276+WEEKDAY(F276,2))/7))</f>
        <v/>
      </c>
      <c r="I276" s="50"/>
      <c r="J276" s="52"/>
      <c r="K276" s="49" t="str">
        <f aca="false">IF(F276="","",YEAR(F276))</f>
        <v/>
      </c>
      <c r="L276" s="49" t="str">
        <f aca="false">IF(F276="","",MONTH(F276))</f>
        <v/>
      </c>
    </row>
    <row r="277" customFormat="false" ht="15" hidden="false" customHeight="false" outlineLevel="0" collapsed="false">
      <c r="A277" s="49" t="str">
        <f aca="false">IF(B277="","",ROW()-5)</f>
        <v/>
      </c>
      <c r="B277" s="50"/>
      <c r="C277" s="51" t="str">
        <f aca="false">IFERROR(INDEX(Personel!$B:$B,MATCH(B277,Personel!$A:$A,0)),"")</f>
        <v/>
      </c>
      <c r="D277" s="51" t="str">
        <f aca="false">IFERROR(INDEX(Personel!$C:$C,MATCH(B277,Personel!$A:$A,0)),"")</f>
        <v/>
      </c>
      <c r="E277" s="52"/>
      <c r="F277" s="53"/>
      <c r="G277" s="53"/>
      <c r="H277" s="54" t="str">
        <f aca="false">IF(OR(F277="",G277=""),"",G277-F277+1-INT((G277-F277+WEEKDAY(F277,2))/7))</f>
        <v/>
      </c>
      <c r="I277" s="50"/>
      <c r="J277" s="52"/>
      <c r="K277" s="49" t="str">
        <f aca="false">IF(F277="","",YEAR(F277))</f>
        <v/>
      </c>
      <c r="L277" s="49" t="str">
        <f aca="false">IF(F277="","",MONTH(F277))</f>
        <v/>
      </c>
    </row>
    <row r="278" customFormat="false" ht="15" hidden="false" customHeight="false" outlineLevel="0" collapsed="false">
      <c r="A278" s="49" t="str">
        <f aca="false">IF(B278="","",ROW()-5)</f>
        <v/>
      </c>
      <c r="B278" s="50"/>
      <c r="C278" s="51" t="str">
        <f aca="false">IFERROR(INDEX(Personel!$B:$B,MATCH(B278,Personel!$A:$A,0)),"")</f>
        <v/>
      </c>
      <c r="D278" s="51" t="str">
        <f aca="false">IFERROR(INDEX(Personel!$C:$C,MATCH(B278,Personel!$A:$A,0)),"")</f>
        <v/>
      </c>
      <c r="E278" s="52"/>
      <c r="F278" s="53"/>
      <c r="G278" s="53"/>
      <c r="H278" s="54" t="str">
        <f aca="false">IF(OR(F278="",G278=""),"",G278-F278+1-INT((G278-F278+WEEKDAY(F278,2))/7))</f>
        <v/>
      </c>
      <c r="I278" s="50"/>
      <c r="J278" s="52"/>
      <c r="K278" s="49" t="str">
        <f aca="false">IF(F278="","",YEAR(F278))</f>
        <v/>
      </c>
      <c r="L278" s="49" t="str">
        <f aca="false">IF(F278="","",MONTH(F278))</f>
        <v/>
      </c>
    </row>
    <row r="279" customFormat="false" ht="15" hidden="false" customHeight="false" outlineLevel="0" collapsed="false">
      <c r="A279" s="49" t="str">
        <f aca="false">IF(B279="","",ROW()-5)</f>
        <v/>
      </c>
      <c r="B279" s="50"/>
      <c r="C279" s="51" t="str">
        <f aca="false">IFERROR(INDEX(Personel!$B:$B,MATCH(B279,Personel!$A:$A,0)),"")</f>
        <v/>
      </c>
      <c r="D279" s="51" t="str">
        <f aca="false">IFERROR(INDEX(Personel!$C:$C,MATCH(B279,Personel!$A:$A,0)),"")</f>
        <v/>
      </c>
      <c r="E279" s="52"/>
      <c r="F279" s="53"/>
      <c r="G279" s="53"/>
      <c r="H279" s="54" t="str">
        <f aca="false">IF(OR(F279="",G279=""),"",G279-F279+1-INT((G279-F279+WEEKDAY(F279,2))/7))</f>
        <v/>
      </c>
      <c r="I279" s="50"/>
      <c r="J279" s="52"/>
      <c r="K279" s="49" t="str">
        <f aca="false">IF(F279="","",YEAR(F279))</f>
        <v/>
      </c>
      <c r="L279" s="49" t="str">
        <f aca="false">IF(F279="","",MONTH(F279))</f>
        <v/>
      </c>
    </row>
    <row r="280" customFormat="false" ht="15" hidden="false" customHeight="false" outlineLevel="0" collapsed="false">
      <c r="A280" s="49" t="str">
        <f aca="false">IF(B280="","",ROW()-5)</f>
        <v/>
      </c>
      <c r="B280" s="50"/>
      <c r="C280" s="51" t="str">
        <f aca="false">IFERROR(INDEX(Personel!$B:$B,MATCH(B280,Personel!$A:$A,0)),"")</f>
        <v/>
      </c>
      <c r="D280" s="51" t="str">
        <f aca="false">IFERROR(INDEX(Personel!$C:$C,MATCH(B280,Personel!$A:$A,0)),"")</f>
        <v/>
      </c>
      <c r="E280" s="52"/>
      <c r="F280" s="53"/>
      <c r="G280" s="53"/>
      <c r="H280" s="54" t="str">
        <f aca="false">IF(OR(F280="",G280=""),"",G280-F280+1-INT((G280-F280+WEEKDAY(F280,2))/7))</f>
        <v/>
      </c>
      <c r="I280" s="50"/>
      <c r="J280" s="52"/>
      <c r="K280" s="49" t="str">
        <f aca="false">IF(F280="","",YEAR(F280))</f>
        <v/>
      </c>
      <c r="L280" s="49" t="str">
        <f aca="false">IF(F280="","",MONTH(F280))</f>
        <v/>
      </c>
    </row>
    <row r="281" customFormat="false" ht="15" hidden="false" customHeight="false" outlineLevel="0" collapsed="false">
      <c r="A281" s="49" t="str">
        <f aca="false">IF(B281="","",ROW()-5)</f>
        <v/>
      </c>
      <c r="B281" s="50"/>
      <c r="C281" s="51" t="str">
        <f aca="false">IFERROR(INDEX(Personel!$B:$B,MATCH(B281,Personel!$A:$A,0)),"")</f>
        <v/>
      </c>
      <c r="D281" s="51" t="str">
        <f aca="false">IFERROR(INDEX(Personel!$C:$C,MATCH(B281,Personel!$A:$A,0)),"")</f>
        <v/>
      </c>
      <c r="E281" s="52"/>
      <c r="F281" s="53"/>
      <c r="G281" s="53"/>
      <c r="H281" s="54" t="str">
        <f aca="false">IF(OR(F281="",G281=""),"",G281-F281+1-INT((G281-F281+WEEKDAY(F281,2))/7))</f>
        <v/>
      </c>
      <c r="I281" s="50"/>
      <c r="J281" s="52"/>
      <c r="K281" s="49" t="str">
        <f aca="false">IF(F281="","",YEAR(F281))</f>
        <v/>
      </c>
      <c r="L281" s="49" t="str">
        <f aca="false">IF(F281="","",MONTH(F281))</f>
        <v/>
      </c>
    </row>
    <row r="282" customFormat="false" ht="15" hidden="false" customHeight="false" outlineLevel="0" collapsed="false">
      <c r="A282" s="49" t="str">
        <f aca="false">IF(B282="","",ROW()-5)</f>
        <v/>
      </c>
      <c r="B282" s="50"/>
      <c r="C282" s="51" t="str">
        <f aca="false">IFERROR(INDEX(Personel!$B:$B,MATCH(B282,Personel!$A:$A,0)),"")</f>
        <v/>
      </c>
      <c r="D282" s="51" t="str">
        <f aca="false">IFERROR(INDEX(Personel!$C:$C,MATCH(B282,Personel!$A:$A,0)),"")</f>
        <v/>
      </c>
      <c r="E282" s="52"/>
      <c r="F282" s="53"/>
      <c r="G282" s="53"/>
      <c r="H282" s="54" t="str">
        <f aca="false">IF(OR(F282="",G282=""),"",G282-F282+1-INT((G282-F282+WEEKDAY(F282,2))/7))</f>
        <v/>
      </c>
      <c r="I282" s="50"/>
      <c r="J282" s="52"/>
      <c r="K282" s="49" t="str">
        <f aca="false">IF(F282="","",YEAR(F282))</f>
        <v/>
      </c>
      <c r="L282" s="49" t="str">
        <f aca="false">IF(F282="","",MONTH(F282))</f>
        <v/>
      </c>
    </row>
    <row r="283" customFormat="false" ht="15" hidden="false" customHeight="false" outlineLevel="0" collapsed="false">
      <c r="A283" s="49" t="str">
        <f aca="false">IF(B283="","",ROW()-5)</f>
        <v/>
      </c>
      <c r="B283" s="50"/>
      <c r="C283" s="51" t="str">
        <f aca="false">IFERROR(INDEX(Personel!$B:$B,MATCH(B283,Personel!$A:$A,0)),"")</f>
        <v/>
      </c>
      <c r="D283" s="51" t="str">
        <f aca="false">IFERROR(INDEX(Personel!$C:$C,MATCH(B283,Personel!$A:$A,0)),"")</f>
        <v/>
      </c>
      <c r="E283" s="52"/>
      <c r="F283" s="53"/>
      <c r="G283" s="53"/>
      <c r="H283" s="54" t="str">
        <f aca="false">IF(OR(F283="",G283=""),"",G283-F283+1-INT((G283-F283+WEEKDAY(F283,2))/7))</f>
        <v/>
      </c>
      <c r="I283" s="50"/>
      <c r="J283" s="52"/>
      <c r="K283" s="49" t="str">
        <f aca="false">IF(F283="","",YEAR(F283))</f>
        <v/>
      </c>
      <c r="L283" s="49" t="str">
        <f aca="false">IF(F283="","",MONTH(F283))</f>
        <v/>
      </c>
    </row>
    <row r="284" customFormat="false" ht="15" hidden="false" customHeight="false" outlineLevel="0" collapsed="false">
      <c r="A284" s="49" t="str">
        <f aca="false">IF(B284="","",ROW()-5)</f>
        <v/>
      </c>
      <c r="B284" s="50"/>
      <c r="C284" s="51" t="str">
        <f aca="false">IFERROR(INDEX(Personel!$B:$B,MATCH(B284,Personel!$A:$A,0)),"")</f>
        <v/>
      </c>
      <c r="D284" s="51" t="str">
        <f aca="false">IFERROR(INDEX(Personel!$C:$C,MATCH(B284,Personel!$A:$A,0)),"")</f>
        <v/>
      </c>
      <c r="E284" s="52"/>
      <c r="F284" s="53"/>
      <c r="G284" s="53"/>
      <c r="H284" s="54" t="str">
        <f aca="false">IF(OR(F284="",G284=""),"",G284-F284+1-INT((G284-F284+WEEKDAY(F284,2))/7))</f>
        <v/>
      </c>
      <c r="I284" s="50"/>
      <c r="J284" s="52"/>
      <c r="K284" s="49" t="str">
        <f aca="false">IF(F284="","",YEAR(F284))</f>
        <v/>
      </c>
      <c r="L284" s="49" t="str">
        <f aca="false">IF(F284="","",MONTH(F284))</f>
        <v/>
      </c>
    </row>
    <row r="285" customFormat="false" ht="15" hidden="false" customHeight="false" outlineLevel="0" collapsed="false">
      <c r="A285" s="49" t="str">
        <f aca="false">IF(B285="","",ROW()-5)</f>
        <v/>
      </c>
      <c r="B285" s="50"/>
      <c r="C285" s="51" t="str">
        <f aca="false">IFERROR(INDEX(Personel!$B:$B,MATCH(B285,Personel!$A:$A,0)),"")</f>
        <v/>
      </c>
      <c r="D285" s="51" t="str">
        <f aca="false">IFERROR(INDEX(Personel!$C:$C,MATCH(B285,Personel!$A:$A,0)),"")</f>
        <v/>
      </c>
      <c r="E285" s="52"/>
      <c r="F285" s="53"/>
      <c r="G285" s="53"/>
      <c r="H285" s="54" t="str">
        <f aca="false">IF(OR(F285="",G285=""),"",G285-F285+1-INT((G285-F285+WEEKDAY(F285,2))/7))</f>
        <v/>
      </c>
      <c r="I285" s="50"/>
      <c r="J285" s="52"/>
      <c r="K285" s="49" t="str">
        <f aca="false">IF(F285="","",YEAR(F285))</f>
        <v/>
      </c>
      <c r="L285" s="49" t="str">
        <f aca="false">IF(F285="","",MONTH(F285))</f>
        <v/>
      </c>
    </row>
    <row r="286" customFormat="false" ht="15" hidden="false" customHeight="false" outlineLevel="0" collapsed="false">
      <c r="A286" s="49" t="str">
        <f aca="false">IF(B286="","",ROW()-5)</f>
        <v/>
      </c>
      <c r="B286" s="50"/>
      <c r="C286" s="51" t="str">
        <f aca="false">IFERROR(INDEX(Personel!$B:$B,MATCH(B286,Personel!$A:$A,0)),"")</f>
        <v/>
      </c>
      <c r="D286" s="51" t="str">
        <f aca="false">IFERROR(INDEX(Personel!$C:$C,MATCH(B286,Personel!$A:$A,0)),"")</f>
        <v/>
      </c>
      <c r="E286" s="52"/>
      <c r="F286" s="53"/>
      <c r="G286" s="53"/>
      <c r="H286" s="54" t="str">
        <f aca="false">IF(OR(F286="",G286=""),"",G286-F286+1-INT((G286-F286+WEEKDAY(F286,2))/7))</f>
        <v/>
      </c>
      <c r="I286" s="50"/>
      <c r="J286" s="52"/>
      <c r="K286" s="49" t="str">
        <f aca="false">IF(F286="","",YEAR(F286))</f>
        <v/>
      </c>
      <c r="L286" s="49" t="str">
        <f aca="false">IF(F286="","",MONTH(F286))</f>
        <v/>
      </c>
    </row>
    <row r="287" customFormat="false" ht="15" hidden="false" customHeight="false" outlineLevel="0" collapsed="false">
      <c r="A287" s="49" t="str">
        <f aca="false">IF(B287="","",ROW()-5)</f>
        <v/>
      </c>
      <c r="B287" s="50"/>
      <c r="C287" s="51" t="str">
        <f aca="false">IFERROR(INDEX(Personel!$B:$B,MATCH(B287,Personel!$A:$A,0)),"")</f>
        <v/>
      </c>
      <c r="D287" s="51" t="str">
        <f aca="false">IFERROR(INDEX(Personel!$C:$C,MATCH(B287,Personel!$A:$A,0)),"")</f>
        <v/>
      </c>
      <c r="E287" s="52"/>
      <c r="F287" s="53"/>
      <c r="G287" s="53"/>
      <c r="H287" s="54" t="str">
        <f aca="false">IF(OR(F287="",G287=""),"",G287-F287+1-INT((G287-F287+WEEKDAY(F287,2))/7))</f>
        <v/>
      </c>
      <c r="I287" s="50"/>
      <c r="J287" s="52"/>
      <c r="K287" s="49" t="str">
        <f aca="false">IF(F287="","",YEAR(F287))</f>
        <v/>
      </c>
      <c r="L287" s="49" t="str">
        <f aca="false">IF(F287="","",MONTH(F287))</f>
        <v/>
      </c>
    </row>
    <row r="288" customFormat="false" ht="15" hidden="false" customHeight="false" outlineLevel="0" collapsed="false">
      <c r="A288" s="49" t="str">
        <f aca="false">IF(B288="","",ROW()-5)</f>
        <v/>
      </c>
      <c r="B288" s="50"/>
      <c r="C288" s="51" t="str">
        <f aca="false">IFERROR(INDEX(Personel!$B:$B,MATCH(B288,Personel!$A:$A,0)),"")</f>
        <v/>
      </c>
      <c r="D288" s="51" t="str">
        <f aca="false">IFERROR(INDEX(Personel!$C:$C,MATCH(B288,Personel!$A:$A,0)),"")</f>
        <v/>
      </c>
      <c r="E288" s="52"/>
      <c r="F288" s="53"/>
      <c r="G288" s="53"/>
      <c r="H288" s="54" t="str">
        <f aca="false">IF(OR(F288="",G288=""),"",G288-F288+1-INT((G288-F288+WEEKDAY(F288,2))/7))</f>
        <v/>
      </c>
      <c r="I288" s="50"/>
      <c r="J288" s="52"/>
      <c r="K288" s="49" t="str">
        <f aca="false">IF(F288="","",YEAR(F288))</f>
        <v/>
      </c>
      <c r="L288" s="49" t="str">
        <f aca="false">IF(F288="","",MONTH(F288))</f>
        <v/>
      </c>
    </row>
    <row r="289" customFormat="false" ht="15" hidden="false" customHeight="false" outlineLevel="0" collapsed="false">
      <c r="A289" s="49" t="str">
        <f aca="false">IF(B289="","",ROW()-5)</f>
        <v/>
      </c>
      <c r="B289" s="50"/>
      <c r="C289" s="51" t="str">
        <f aca="false">IFERROR(INDEX(Personel!$B:$B,MATCH(B289,Personel!$A:$A,0)),"")</f>
        <v/>
      </c>
      <c r="D289" s="51" t="str">
        <f aca="false">IFERROR(INDEX(Personel!$C:$C,MATCH(B289,Personel!$A:$A,0)),"")</f>
        <v/>
      </c>
      <c r="E289" s="52"/>
      <c r="F289" s="53"/>
      <c r="G289" s="53"/>
      <c r="H289" s="54" t="str">
        <f aca="false">IF(OR(F289="",G289=""),"",G289-F289+1-INT((G289-F289+WEEKDAY(F289,2))/7))</f>
        <v/>
      </c>
      <c r="I289" s="50"/>
      <c r="J289" s="52"/>
      <c r="K289" s="49" t="str">
        <f aca="false">IF(F289="","",YEAR(F289))</f>
        <v/>
      </c>
      <c r="L289" s="49" t="str">
        <f aca="false">IF(F289="","",MONTH(F289))</f>
        <v/>
      </c>
    </row>
    <row r="290" customFormat="false" ht="15" hidden="false" customHeight="false" outlineLevel="0" collapsed="false">
      <c r="A290" s="49" t="str">
        <f aca="false">IF(B290="","",ROW()-5)</f>
        <v/>
      </c>
      <c r="B290" s="50"/>
      <c r="C290" s="51" t="str">
        <f aca="false">IFERROR(INDEX(Personel!$B:$B,MATCH(B290,Personel!$A:$A,0)),"")</f>
        <v/>
      </c>
      <c r="D290" s="51" t="str">
        <f aca="false">IFERROR(INDEX(Personel!$C:$C,MATCH(B290,Personel!$A:$A,0)),"")</f>
        <v/>
      </c>
      <c r="E290" s="52"/>
      <c r="F290" s="53"/>
      <c r="G290" s="53"/>
      <c r="H290" s="54" t="str">
        <f aca="false">IF(OR(F290="",G290=""),"",G290-F290+1-INT((G290-F290+WEEKDAY(F290,2))/7))</f>
        <v/>
      </c>
      <c r="I290" s="50"/>
      <c r="J290" s="52"/>
      <c r="K290" s="49" t="str">
        <f aca="false">IF(F290="","",YEAR(F290))</f>
        <v/>
      </c>
      <c r="L290" s="49" t="str">
        <f aca="false">IF(F290="","",MONTH(F290))</f>
        <v/>
      </c>
    </row>
    <row r="291" customFormat="false" ht="15" hidden="false" customHeight="false" outlineLevel="0" collapsed="false">
      <c r="A291" s="49" t="str">
        <f aca="false">IF(B291="","",ROW()-5)</f>
        <v/>
      </c>
      <c r="B291" s="50"/>
      <c r="C291" s="51" t="str">
        <f aca="false">IFERROR(INDEX(Personel!$B:$B,MATCH(B291,Personel!$A:$A,0)),"")</f>
        <v/>
      </c>
      <c r="D291" s="51" t="str">
        <f aca="false">IFERROR(INDEX(Personel!$C:$C,MATCH(B291,Personel!$A:$A,0)),"")</f>
        <v/>
      </c>
      <c r="E291" s="52"/>
      <c r="F291" s="53"/>
      <c r="G291" s="53"/>
      <c r="H291" s="54" t="str">
        <f aca="false">IF(OR(F291="",G291=""),"",G291-F291+1-INT((G291-F291+WEEKDAY(F291,2))/7))</f>
        <v/>
      </c>
      <c r="I291" s="50"/>
      <c r="J291" s="52"/>
      <c r="K291" s="49" t="str">
        <f aca="false">IF(F291="","",YEAR(F291))</f>
        <v/>
      </c>
      <c r="L291" s="49" t="str">
        <f aca="false">IF(F291="","",MONTH(F291))</f>
        <v/>
      </c>
    </row>
    <row r="292" customFormat="false" ht="15" hidden="false" customHeight="false" outlineLevel="0" collapsed="false">
      <c r="A292" s="49" t="str">
        <f aca="false">IF(B292="","",ROW()-5)</f>
        <v/>
      </c>
      <c r="B292" s="50"/>
      <c r="C292" s="51" t="str">
        <f aca="false">IFERROR(INDEX(Personel!$B:$B,MATCH(B292,Personel!$A:$A,0)),"")</f>
        <v/>
      </c>
      <c r="D292" s="51" t="str">
        <f aca="false">IFERROR(INDEX(Personel!$C:$C,MATCH(B292,Personel!$A:$A,0)),"")</f>
        <v/>
      </c>
      <c r="E292" s="52"/>
      <c r="F292" s="53"/>
      <c r="G292" s="53"/>
      <c r="H292" s="54" t="str">
        <f aca="false">IF(OR(F292="",G292=""),"",G292-F292+1-INT((G292-F292+WEEKDAY(F292,2))/7))</f>
        <v/>
      </c>
      <c r="I292" s="50"/>
      <c r="J292" s="52"/>
      <c r="K292" s="49" t="str">
        <f aca="false">IF(F292="","",YEAR(F292))</f>
        <v/>
      </c>
      <c r="L292" s="49" t="str">
        <f aca="false">IF(F292="","",MONTH(F292))</f>
        <v/>
      </c>
    </row>
    <row r="293" customFormat="false" ht="15" hidden="false" customHeight="false" outlineLevel="0" collapsed="false">
      <c r="A293" s="49" t="str">
        <f aca="false">IF(B293="","",ROW()-5)</f>
        <v/>
      </c>
      <c r="B293" s="50"/>
      <c r="C293" s="51" t="str">
        <f aca="false">IFERROR(INDEX(Personel!$B:$B,MATCH(B293,Personel!$A:$A,0)),"")</f>
        <v/>
      </c>
      <c r="D293" s="51" t="str">
        <f aca="false">IFERROR(INDEX(Personel!$C:$C,MATCH(B293,Personel!$A:$A,0)),"")</f>
        <v/>
      </c>
      <c r="E293" s="52"/>
      <c r="F293" s="53"/>
      <c r="G293" s="53"/>
      <c r="H293" s="54" t="str">
        <f aca="false">IF(OR(F293="",G293=""),"",G293-F293+1-INT((G293-F293+WEEKDAY(F293,2))/7))</f>
        <v/>
      </c>
      <c r="I293" s="50"/>
      <c r="J293" s="52"/>
      <c r="K293" s="49" t="str">
        <f aca="false">IF(F293="","",YEAR(F293))</f>
        <v/>
      </c>
      <c r="L293" s="49" t="str">
        <f aca="false">IF(F293="","",MONTH(F293))</f>
        <v/>
      </c>
    </row>
    <row r="294" customFormat="false" ht="15" hidden="false" customHeight="false" outlineLevel="0" collapsed="false">
      <c r="A294" s="49" t="str">
        <f aca="false">IF(B294="","",ROW()-5)</f>
        <v/>
      </c>
      <c r="B294" s="50"/>
      <c r="C294" s="51" t="str">
        <f aca="false">IFERROR(INDEX(Personel!$B:$B,MATCH(B294,Personel!$A:$A,0)),"")</f>
        <v/>
      </c>
      <c r="D294" s="51" t="str">
        <f aca="false">IFERROR(INDEX(Personel!$C:$C,MATCH(B294,Personel!$A:$A,0)),"")</f>
        <v/>
      </c>
      <c r="E294" s="52"/>
      <c r="F294" s="53"/>
      <c r="G294" s="53"/>
      <c r="H294" s="54" t="str">
        <f aca="false">IF(OR(F294="",G294=""),"",G294-F294+1-INT((G294-F294+WEEKDAY(F294,2))/7))</f>
        <v/>
      </c>
      <c r="I294" s="50"/>
      <c r="J294" s="52"/>
      <c r="K294" s="49" t="str">
        <f aca="false">IF(F294="","",YEAR(F294))</f>
        <v/>
      </c>
      <c r="L294" s="49" t="str">
        <f aca="false">IF(F294="","",MONTH(F294))</f>
        <v/>
      </c>
    </row>
    <row r="295" customFormat="false" ht="15" hidden="false" customHeight="false" outlineLevel="0" collapsed="false">
      <c r="A295" s="49" t="str">
        <f aca="false">IF(B295="","",ROW()-5)</f>
        <v/>
      </c>
      <c r="B295" s="50"/>
      <c r="C295" s="51" t="str">
        <f aca="false">IFERROR(INDEX(Personel!$B:$B,MATCH(B295,Personel!$A:$A,0)),"")</f>
        <v/>
      </c>
      <c r="D295" s="51" t="str">
        <f aca="false">IFERROR(INDEX(Personel!$C:$C,MATCH(B295,Personel!$A:$A,0)),"")</f>
        <v/>
      </c>
      <c r="E295" s="52"/>
      <c r="F295" s="53"/>
      <c r="G295" s="53"/>
      <c r="H295" s="54" t="str">
        <f aca="false">IF(OR(F295="",G295=""),"",G295-F295+1-INT((G295-F295+WEEKDAY(F295,2))/7))</f>
        <v/>
      </c>
      <c r="I295" s="50"/>
      <c r="J295" s="52"/>
      <c r="K295" s="49" t="str">
        <f aca="false">IF(F295="","",YEAR(F295))</f>
        <v/>
      </c>
      <c r="L295" s="49" t="str">
        <f aca="false">IF(F295="","",MONTH(F295))</f>
        <v/>
      </c>
    </row>
    <row r="296" customFormat="false" ht="15" hidden="false" customHeight="false" outlineLevel="0" collapsed="false">
      <c r="A296" s="49" t="str">
        <f aca="false">IF(B296="","",ROW()-5)</f>
        <v/>
      </c>
      <c r="B296" s="50"/>
      <c r="C296" s="51" t="str">
        <f aca="false">IFERROR(INDEX(Personel!$B:$B,MATCH(B296,Personel!$A:$A,0)),"")</f>
        <v/>
      </c>
      <c r="D296" s="51" t="str">
        <f aca="false">IFERROR(INDEX(Personel!$C:$C,MATCH(B296,Personel!$A:$A,0)),"")</f>
        <v/>
      </c>
      <c r="E296" s="52"/>
      <c r="F296" s="53"/>
      <c r="G296" s="53"/>
      <c r="H296" s="54" t="str">
        <f aca="false">IF(OR(F296="",G296=""),"",G296-F296+1-INT((G296-F296+WEEKDAY(F296,2))/7))</f>
        <v/>
      </c>
      <c r="I296" s="50"/>
      <c r="J296" s="52"/>
      <c r="K296" s="49" t="str">
        <f aca="false">IF(F296="","",YEAR(F296))</f>
        <v/>
      </c>
      <c r="L296" s="49" t="str">
        <f aca="false">IF(F296="","",MONTH(F296))</f>
        <v/>
      </c>
    </row>
    <row r="297" customFormat="false" ht="15" hidden="false" customHeight="false" outlineLevel="0" collapsed="false">
      <c r="A297" s="49" t="str">
        <f aca="false">IF(B297="","",ROW()-5)</f>
        <v/>
      </c>
      <c r="B297" s="50"/>
      <c r="C297" s="51" t="str">
        <f aca="false">IFERROR(INDEX(Personel!$B:$B,MATCH(B297,Personel!$A:$A,0)),"")</f>
        <v/>
      </c>
      <c r="D297" s="51" t="str">
        <f aca="false">IFERROR(INDEX(Personel!$C:$C,MATCH(B297,Personel!$A:$A,0)),"")</f>
        <v/>
      </c>
      <c r="E297" s="52"/>
      <c r="F297" s="53"/>
      <c r="G297" s="53"/>
      <c r="H297" s="54" t="str">
        <f aca="false">IF(OR(F297="",G297=""),"",G297-F297+1-INT((G297-F297+WEEKDAY(F297,2))/7))</f>
        <v/>
      </c>
      <c r="I297" s="50"/>
      <c r="J297" s="52"/>
      <c r="K297" s="49" t="str">
        <f aca="false">IF(F297="","",YEAR(F297))</f>
        <v/>
      </c>
      <c r="L297" s="49" t="str">
        <f aca="false">IF(F297="","",MONTH(F297))</f>
        <v/>
      </c>
    </row>
    <row r="298" customFormat="false" ht="15" hidden="false" customHeight="false" outlineLevel="0" collapsed="false">
      <c r="A298" s="49" t="str">
        <f aca="false">IF(B298="","",ROW()-5)</f>
        <v/>
      </c>
      <c r="B298" s="50"/>
      <c r="C298" s="51" t="str">
        <f aca="false">IFERROR(INDEX(Personel!$B:$B,MATCH(B298,Personel!$A:$A,0)),"")</f>
        <v/>
      </c>
      <c r="D298" s="51" t="str">
        <f aca="false">IFERROR(INDEX(Personel!$C:$C,MATCH(B298,Personel!$A:$A,0)),"")</f>
        <v/>
      </c>
      <c r="E298" s="52"/>
      <c r="F298" s="53"/>
      <c r="G298" s="53"/>
      <c r="H298" s="54" t="str">
        <f aca="false">IF(OR(F298="",G298=""),"",G298-F298+1-INT((G298-F298+WEEKDAY(F298,2))/7))</f>
        <v/>
      </c>
      <c r="I298" s="50"/>
      <c r="J298" s="52"/>
      <c r="K298" s="49" t="str">
        <f aca="false">IF(F298="","",YEAR(F298))</f>
        <v/>
      </c>
      <c r="L298" s="49" t="str">
        <f aca="false">IF(F298="","",MONTH(F298))</f>
        <v/>
      </c>
    </row>
    <row r="299" customFormat="false" ht="15" hidden="false" customHeight="false" outlineLevel="0" collapsed="false">
      <c r="A299" s="49" t="str">
        <f aca="false">IF(B299="","",ROW()-5)</f>
        <v/>
      </c>
      <c r="B299" s="50"/>
      <c r="C299" s="51" t="str">
        <f aca="false">IFERROR(INDEX(Personel!$B:$B,MATCH(B299,Personel!$A:$A,0)),"")</f>
        <v/>
      </c>
      <c r="D299" s="51" t="str">
        <f aca="false">IFERROR(INDEX(Personel!$C:$C,MATCH(B299,Personel!$A:$A,0)),"")</f>
        <v/>
      </c>
      <c r="E299" s="52"/>
      <c r="F299" s="53"/>
      <c r="G299" s="53"/>
      <c r="H299" s="54" t="str">
        <f aca="false">IF(OR(F299="",G299=""),"",G299-F299+1-INT((G299-F299+WEEKDAY(F299,2))/7))</f>
        <v/>
      </c>
      <c r="I299" s="50"/>
      <c r="J299" s="52"/>
      <c r="K299" s="49" t="str">
        <f aca="false">IF(F299="","",YEAR(F299))</f>
        <v/>
      </c>
      <c r="L299" s="49" t="str">
        <f aca="false">IF(F299="","",MONTH(F299))</f>
        <v/>
      </c>
    </row>
    <row r="300" customFormat="false" ht="15" hidden="false" customHeight="false" outlineLevel="0" collapsed="false">
      <c r="A300" s="49" t="str">
        <f aca="false">IF(B300="","",ROW()-5)</f>
        <v/>
      </c>
      <c r="B300" s="50"/>
      <c r="C300" s="51" t="str">
        <f aca="false">IFERROR(INDEX(Personel!$B:$B,MATCH(B300,Personel!$A:$A,0)),"")</f>
        <v/>
      </c>
      <c r="D300" s="51" t="str">
        <f aca="false">IFERROR(INDEX(Personel!$C:$C,MATCH(B300,Personel!$A:$A,0)),"")</f>
        <v/>
      </c>
      <c r="E300" s="52"/>
      <c r="F300" s="53"/>
      <c r="G300" s="53"/>
      <c r="H300" s="54" t="str">
        <f aca="false">IF(OR(F300="",G300=""),"",G300-F300+1-INT((G300-F300+WEEKDAY(F300,2))/7))</f>
        <v/>
      </c>
      <c r="I300" s="50"/>
      <c r="J300" s="52"/>
      <c r="K300" s="49" t="str">
        <f aca="false">IF(F300="","",YEAR(F300))</f>
        <v/>
      </c>
      <c r="L300" s="49" t="str">
        <f aca="false">IF(F300="","",MONTH(F300))</f>
        <v/>
      </c>
    </row>
    <row r="301" customFormat="false" ht="15" hidden="false" customHeight="false" outlineLevel="0" collapsed="false">
      <c r="A301" s="49" t="str">
        <f aca="false">IF(B301="","",ROW()-5)</f>
        <v/>
      </c>
      <c r="B301" s="50"/>
      <c r="C301" s="51" t="str">
        <f aca="false">IFERROR(INDEX(Personel!$B:$B,MATCH(B301,Personel!$A:$A,0)),"")</f>
        <v/>
      </c>
      <c r="D301" s="51" t="str">
        <f aca="false">IFERROR(INDEX(Personel!$C:$C,MATCH(B301,Personel!$A:$A,0)),"")</f>
        <v/>
      </c>
      <c r="E301" s="52"/>
      <c r="F301" s="53"/>
      <c r="G301" s="53"/>
      <c r="H301" s="54" t="str">
        <f aca="false">IF(OR(F301="",G301=""),"",G301-F301+1-INT((G301-F301+WEEKDAY(F301,2))/7))</f>
        <v/>
      </c>
      <c r="I301" s="50"/>
      <c r="J301" s="52"/>
      <c r="K301" s="49" t="str">
        <f aca="false">IF(F301="","",YEAR(F301))</f>
        <v/>
      </c>
      <c r="L301" s="49" t="str">
        <f aca="false">IF(F301="","",MONTH(F301))</f>
        <v/>
      </c>
    </row>
    <row r="302" customFormat="false" ht="15" hidden="false" customHeight="false" outlineLevel="0" collapsed="false">
      <c r="A302" s="49" t="str">
        <f aca="false">IF(B302="","",ROW()-5)</f>
        <v/>
      </c>
      <c r="B302" s="50"/>
      <c r="C302" s="51" t="str">
        <f aca="false">IFERROR(INDEX(Personel!$B:$B,MATCH(B302,Personel!$A:$A,0)),"")</f>
        <v/>
      </c>
      <c r="D302" s="51" t="str">
        <f aca="false">IFERROR(INDEX(Personel!$C:$C,MATCH(B302,Personel!$A:$A,0)),"")</f>
        <v/>
      </c>
      <c r="E302" s="52"/>
      <c r="F302" s="53"/>
      <c r="G302" s="53"/>
      <c r="H302" s="54" t="str">
        <f aca="false">IF(OR(F302="",G302=""),"",G302-F302+1-INT((G302-F302+WEEKDAY(F302,2))/7))</f>
        <v/>
      </c>
      <c r="I302" s="50"/>
      <c r="J302" s="52"/>
      <c r="K302" s="49" t="str">
        <f aca="false">IF(F302="","",YEAR(F302))</f>
        <v/>
      </c>
      <c r="L302" s="49" t="str">
        <f aca="false">IF(F302="","",MONTH(F302))</f>
        <v/>
      </c>
    </row>
    <row r="303" customFormat="false" ht="15" hidden="false" customHeight="false" outlineLevel="0" collapsed="false">
      <c r="A303" s="49" t="str">
        <f aca="false">IF(B303="","",ROW()-5)</f>
        <v/>
      </c>
      <c r="B303" s="50"/>
      <c r="C303" s="51" t="str">
        <f aca="false">IFERROR(INDEX(Personel!$B:$B,MATCH(B303,Personel!$A:$A,0)),"")</f>
        <v/>
      </c>
      <c r="D303" s="51" t="str">
        <f aca="false">IFERROR(INDEX(Personel!$C:$C,MATCH(B303,Personel!$A:$A,0)),"")</f>
        <v/>
      </c>
      <c r="E303" s="52"/>
      <c r="F303" s="53"/>
      <c r="G303" s="53"/>
      <c r="H303" s="54" t="str">
        <f aca="false">IF(OR(F303="",G303=""),"",G303-F303+1-INT((G303-F303+WEEKDAY(F303,2))/7))</f>
        <v/>
      </c>
      <c r="I303" s="50"/>
      <c r="J303" s="52"/>
      <c r="K303" s="49" t="str">
        <f aca="false">IF(F303="","",YEAR(F303))</f>
        <v/>
      </c>
      <c r="L303" s="49" t="str">
        <f aca="false">IF(F303="","",MONTH(F303))</f>
        <v/>
      </c>
    </row>
    <row r="304" customFormat="false" ht="15" hidden="false" customHeight="false" outlineLevel="0" collapsed="false">
      <c r="A304" s="49" t="str">
        <f aca="false">IF(B304="","",ROW()-5)</f>
        <v/>
      </c>
      <c r="B304" s="50"/>
      <c r="C304" s="51" t="str">
        <f aca="false">IFERROR(INDEX(Personel!$B:$B,MATCH(B304,Personel!$A:$A,0)),"")</f>
        <v/>
      </c>
      <c r="D304" s="51" t="str">
        <f aca="false">IFERROR(INDEX(Personel!$C:$C,MATCH(B304,Personel!$A:$A,0)),"")</f>
        <v/>
      </c>
      <c r="E304" s="52"/>
      <c r="F304" s="53"/>
      <c r="G304" s="53"/>
      <c r="H304" s="54" t="str">
        <f aca="false">IF(OR(F304="",G304=""),"",G304-F304+1-INT((G304-F304+WEEKDAY(F304,2))/7))</f>
        <v/>
      </c>
      <c r="I304" s="50"/>
      <c r="J304" s="52"/>
      <c r="K304" s="49" t="str">
        <f aca="false">IF(F304="","",YEAR(F304))</f>
        <v/>
      </c>
      <c r="L304" s="49" t="str">
        <f aca="false">IF(F304="","",MONTH(F304))</f>
        <v/>
      </c>
    </row>
    <row r="305" customFormat="false" ht="15" hidden="false" customHeight="false" outlineLevel="0" collapsed="false">
      <c r="A305" s="49" t="str">
        <f aca="false">IF(B305="","",ROW()-5)</f>
        <v/>
      </c>
      <c r="B305" s="50"/>
      <c r="C305" s="51" t="str">
        <f aca="false">IFERROR(INDEX(Personel!$B:$B,MATCH(B305,Personel!$A:$A,0)),"")</f>
        <v/>
      </c>
      <c r="D305" s="51" t="str">
        <f aca="false">IFERROR(INDEX(Personel!$C:$C,MATCH(B305,Personel!$A:$A,0)),"")</f>
        <v/>
      </c>
      <c r="E305" s="52"/>
      <c r="F305" s="53"/>
      <c r="G305" s="53"/>
      <c r="H305" s="54" t="str">
        <f aca="false">IF(OR(F305="",G305=""),"",G305-F305+1-INT((G305-F305+WEEKDAY(F305,2))/7))</f>
        <v/>
      </c>
      <c r="I305" s="50"/>
      <c r="J305" s="52"/>
      <c r="K305" s="49" t="str">
        <f aca="false">IF(F305="","",YEAR(F305))</f>
        <v/>
      </c>
      <c r="L305" s="49" t="str">
        <f aca="false">IF(F305="","",MONTH(F305))</f>
        <v/>
      </c>
    </row>
    <row r="307" customFormat="false" ht="15" hidden="false" customHeight="false" outlineLevel="0" collapsed="false">
      <c r="A307" s="55" t="s">
        <v>62</v>
      </c>
      <c r="B307" s="55"/>
      <c r="C307" s="55"/>
      <c r="D307" s="55"/>
      <c r="E307" s="55"/>
      <c r="F307" s="55"/>
      <c r="G307" s="55"/>
      <c r="H307" s="55"/>
      <c r="I307" s="55"/>
      <c r="J307" s="55"/>
      <c r="K307" s="55"/>
      <c r="L307" s="55"/>
    </row>
  </sheetData>
  <sheetProtection sheet="true" formatCells="false" formatColumns="false" formatRows="false" insertRows="false" deleteRows="false" sort="false" autoFilter="false"/>
  <mergeCells count="3">
    <mergeCell ref="A1:L1"/>
    <mergeCell ref="A2:L2"/>
    <mergeCell ref="A307:L307"/>
  </mergeCells>
  <conditionalFormatting sqref="A6:L305">
    <cfRule type="expression" priority="2" aboveAverage="0" equalAverage="0" bottom="0" percent="0" rank="0" text="" dxfId="3">
      <formula>MOD(ROW(),2)=0</formula>
    </cfRule>
  </conditionalFormatting>
  <conditionalFormatting sqref="I6:I305">
    <cfRule type="cellIs" priority="3" operator="equal" aboveAverage="0" equalAverage="0" bottom="0" percent="0" rank="0" text="" dxfId="4">
      <formula>"Onaylandı"</formula>
    </cfRule>
    <cfRule type="cellIs" priority="4" operator="equal" aboveAverage="0" equalAverage="0" bottom="0" percent="0" rank="0" text="" dxfId="5">
      <formula>"Bekliyor"</formula>
    </cfRule>
    <cfRule type="cellIs" priority="5" operator="equal" aboveAverage="0" equalAverage="0" bottom="0" percent="0" rank="0" text="" dxfId="6">
      <formula>"Reddedildi"</formula>
    </cfRule>
  </conditionalFormatting>
  <conditionalFormatting sqref="B6:J305">
    <cfRule type="expression" priority="6" aboveAverage="0" equalAverage="0" bottom="0" percent="0" rank="0" text="" dxfId="7">
      <formula>AND($F6&lt;&gt;"",$I6="Onaylandı",$F6&lt;=Listeler!$F$5,$G6&gt;=Listeler!$F$5)</formula>
    </cfRule>
  </conditionalFormatting>
  <dataValidations count="3">
    <dataValidation allowBlank="true" errorStyle="stop" operator="between" showDropDown="false" showErrorMessage="false" showInputMessage="false" sqref="B6:B305" type="list">
      <formula1>Personel!$A$6:$A$85</formula1>
      <formula2>0</formula2>
    </dataValidation>
    <dataValidation allowBlank="true" errorStyle="stop" operator="between" showDropDown="false" showErrorMessage="false" showInputMessage="false" sqref="E6:E305" type="list">
      <formula1>Listeler!$B$5:$B$19</formula1>
      <formula2>0</formula2>
    </dataValidation>
    <dataValidation allowBlank="true" errorStyle="stop" operator="between" showDropDown="false" showErrorMessage="false" showInputMessage="false" sqref="I6:I305" type="list">
      <formula1>Listeler!$C$5:$C$7</formula1>
      <formula2>0</formula2>
    </dataValidation>
  </dataValidations>
  <hyperlinks>
    <hyperlink ref="A3" location="'Dashboard'!A1" display="Dashboard"/>
    <hyperlink ref="B3" location="'İzin Kayıtları'!A1" display="·  İzin Kayıtları"/>
    <hyperlink ref="C3" location="'Personel'!A1" display="·  Personel"/>
    <hyperlink ref="D3" location="'Listeler'!A1" display="·  Listeler"/>
    <hyperlink ref="E3" location="'Nasıl kullanılır'!A1" display="·  Nasıl kullanılır"/>
  </hyperlink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&amp;K64748bTAKMOS · takmoserp.com&amp;C&amp;8 &amp;K64748bÖrnek veriler kurgusaldır&amp;R&amp;8 &amp;K64748bSayfa &amp;P /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8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22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5" min="5" style="0" width="12"/>
    <col collapsed="false" customWidth="true" hidden="false" outlineLevel="0" max="6" min="6" style="0" width="9"/>
    <col collapsed="false" customWidth="true" hidden="false" outlineLevel="0" max="8" min="7" style="0" width="10"/>
    <col collapsed="false" customWidth="true" hidden="false" outlineLevel="0" max="9" min="9" style="0" width="11"/>
    <col collapsed="false" customWidth="true" hidden="false" outlineLevel="0" max="10" min="10" style="0" width="10"/>
  </cols>
  <sheetData>
    <row r="1" customFormat="false" ht="33.75" hidden="false" customHeight="true" outlineLevel="0" collapsed="false">
      <c r="A1" s="20" t="s">
        <v>103</v>
      </c>
      <c r="B1" s="20"/>
      <c r="C1" s="20"/>
      <c r="D1" s="20"/>
      <c r="E1" s="20"/>
      <c r="F1" s="20"/>
      <c r="G1" s="20"/>
      <c r="H1" s="20"/>
      <c r="I1" s="20"/>
      <c r="J1" s="20"/>
    </row>
    <row r="2" customFormat="false" ht="19.5" hidden="false" customHeight="true" outlineLevel="0" collapsed="false">
      <c r="A2" s="22" t="s">
        <v>104</v>
      </c>
      <c r="B2" s="22"/>
      <c r="C2" s="22"/>
      <c r="D2" s="22"/>
      <c r="E2" s="22"/>
      <c r="F2" s="22"/>
      <c r="G2" s="22"/>
      <c r="H2" s="22"/>
      <c r="I2" s="22"/>
      <c r="J2" s="22"/>
    </row>
    <row r="3" customFormat="false" ht="15" hidden="false" customHeight="false" outlineLevel="0" collapsed="false">
      <c r="A3" s="46" t="s">
        <v>31</v>
      </c>
      <c r="B3" s="46" t="s">
        <v>32</v>
      </c>
      <c r="C3" s="47" t="s">
        <v>33</v>
      </c>
      <c r="D3" s="46" t="s">
        <v>34</v>
      </c>
      <c r="E3" s="46" t="s">
        <v>35</v>
      </c>
      <c r="I3" s="56" t="s">
        <v>38</v>
      </c>
      <c r="J3" s="57" t="n">
        <f aca="false">Listeler!$F$5</f>
        <v>46323</v>
      </c>
      <c r="K3" s="57"/>
    </row>
    <row r="4" customFormat="false" ht="15" hidden="false" customHeight="false" outlineLevel="0" collapsed="false">
      <c r="A4" s="48" t="s">
        <v>65</v>
      </c>
    </row>
    <row r="5" customFormat="false" ht="31.5" hidden="false" customHeight="true" outlineLevel="0" collapsed="false">
      <c r="A5" s="39" t="s">
        <v>67</v>
      </c>
      <c r="B5" s="39" t="s">
        <v>58</v>
      </c>
      <c r="C5" s="39" t="s">
        <v>50</v>
      </c>
      <c r="D5" s="39" t="s">
        <v>105</v>
      </c>
      <c r="E5" s="39" t="s">
        <v>106</v>
      </c>
      <c r="F5" s="39" t="s">
        <v>107</v>
      </c>
      <c r="G5" s="39" t="s">
        <v>108</v>
      </c>
      <c r="H5" s="39" t="s">
        <v>109</v>
      </c>
      <c r="I5" s="39" t="s">
        <v>110</v>
      </c>
      <c r="J5" s="39" t="s">
        <v>111</v>
      </c>
    </row>
    <row r="6" customFormat="false" ht="15" hidden="false" customHeight="false" outlineLevel="0" collapsed="false">
      <c r="A6" s="50" t="s">
        <v>84</v>
      </c>
      <c r="B6" s="52" t="s">
        <v>112</v>
      </c>
      <c r="C6" s="52" t="s">
        <v>113</v>
      </c>
      <c r="D6" s="52" t="s">
        <v>114</v>
      </c>
      <c r="E6" s="53" t="n">
        <v>42208</v>
      </c>
      <c r="F6" s="58" t="n">
        <f aca="false">IF(E6="","",INT((Listeler!$F$5-E6)/365.25))</f>
        <v>11</v>
      </c>
      <c r="G6" s="58" t="n">
        <f aca="false">IF(E6="","",IF(F6&lt;1,0,IF(F6&lt;5,Listeler!$F$8,IF(F6&lt;15,Listeler!$F$9,Listeler!$F$10))))</f>
        <v>20</v>
      </c>
      <c r="H6" s="50" t="n">
        <v>3</v>
      </c>
      <c r="I6" s="58" t="n">
        <f aca="false">IF(A6="","",SUMIFS('İzin Kayıtları'!$H:$H,'İzin Kayıtları'!$B:$B,A6,'İzin Kayıtları'!$E:$E,"Yıllık izin",'İzin Kayıtları'!$I:$I,"Onaylandı",'İzin Kayıtları'!$K:$K,Listeler!$F$6))</f>
        <v>13</v>
      </c>
      <c r="J6" s="54" t="n">
        <f aca="false">IF(A6="","",G6+H6-I6)</f>
        <v>10</v>
      </c>
    </row>
    <row r="7" customFormat="false" ht="15" hidden="false" customHeight="false" outlineLevel="0" collapsed="false">
      <c r="A7" s="50" t="s">
        <v>96</v>
      </c>
      <c r="B7" s="52" t="s">
        <v>115</v>
      </c>
      <c r="C7" s="52" t="s">
        <v>113</v>
      </c>
      <c r="D7" s="52" t="s">
        <v>116</v>
      </c>
      <c r="E7" s="53" t="n">
        <v>43704</v>
      </c>
      <c r="F7" s="58" t="n">
        <f aca="false">IF(E7="","",INT((Listeler!$F$5-E7)/365.25))</f>
        <v>7</v>
      </c>
      <c r="G7" s="58" t="n">
        <f aca="false">IF(E7="","",IF(F7&lt;1,0,IF(F7&lt;5,Listeler!$F$8,IF(F7&lt;15,Listeler!$F$9,Listeler!$F$10))))</f>
        <v>20</v>
      </c>
      <c r="H7" s="50" t="n">
        <v>5</v>
      </c>
      <c r="I7" s="58" t="n">
        <f aca="false">IF(A7="","",SUMIFS('İzin Kayıtları'!$H:$H,'İzin Kayıtları'!$B:$B,A7,'İzin Kayıtları'!$E:$E,"Yıllık izin",'İzin Kayıtları'!$I:$I,"Onaylandı",'İzin Kayıtları'!$K:$K,Listeler!$F$6))</f>
        <v>7</v>
      </c>
      <c r="J7" s="54" t="n">
        <f aca="false">IF(A7="","",G7+H7-I7)</f>
        <v>18</v>
      </c>
    </row>
    <row r="8" customFormat="false" ht="15" hidden="false" customHeight="false" outlineLevel="0" collapsed="false">
      <c r="A8" s="50" t="s">
        <v>83</v>
      </c>
      <c r="B8" s="52" t="s">
        <v>117</v>
      </c>
      <c r="C8" s="52" t="s">
        <v>113</v>
      </c>
      <c r="D8" s="52" t="s">
        <v>118</v>
      </c>
      <c r="E8" s="53" t="n">
        <v>45368</v>
      </c>
      <c r="F8" s="58" t="n">
        <f aca="false">IF(E8="","",INT((Listeler!$F$5-E8)/365.25))</f>
        <v>2</v>
      </c>
      <c r="G8" s="58" t="n">
        <f aca="false">IF(E8="","",IF(F8&lt;1,0,IF(F8&lt;5,Listeler!$F$8,IF(F8&lt;15,Listeler!$F$9,Listeler!$F$10))))</f>
        <v>14</v>
      </c>
      <c r="H8" s="50" t="n">
        <v>0</v>
      </c>
      <c r="I8" s="58" t="n">
        <f aca="false">IF(A8="","",SUMIFS('İzin Kayıtları'!$H:$H,'İzin Kayıtları'!$B:$B,A8,'İzin Kayıtları'!$E:$E,"Yıllık izin",'İzin Kayıtları'!$I:$I,"Onaylandı",'İzin Kayıtları'!$K:$K,Listeler!$F$6))</f>
        <v>8</v>
      </c>
      <c r="J8" s="54" t="n">
        <f aca="false">IF(A8="","",G8+H8-I8)</f>
        <v>6</v>
      </c>
    </row>
    <row r="9" customFormat="false" ht="15" hidden="false" customHeight="false" outlineLevel="0" collapsed="false">
      <c r="A9" s="50" t="s">
        <v>100</v>
      </c>
      <c r="B9" s="52" t="s">
        <v>119</v>
      </c>
      <c r="C9" s="52" t="s">
        <v>120</v>
      </c>
      <c r="D9" s="52" t="s">
        <v>118</v>
      </c>
      <c r="E9" s="53" t="n">
        <v>39825</v>
      </c>
      <c r="F9" s="58" t="n">
        <f aca="false">IF(E9="","",INT((Listeler!$F$5-E9)/365.25))</f>
        <v>17</v>
      </c>
      <c r="G9" s="58" t="n">
        <f aca="false">IF(E9="","",IF(F9&lt;1,0,IF(F9&lt;5,Listeler!$F$8,IF(F9&lt;15,Listeler!$F$9,Listeler!$F$10))))</f>
        <v>26</v>
      </c>
      <c r="H9" s="50" t="n">
        <v>5</v>
      </c>
      <c r="I9" s="58" t="n">
        <f aca="false">IF(A9="","",SUMIFS('İzin Kayıtları'!$H:$H,'İzin Kayıtları'!$B:$B,A9,'İzin Kayıtları'!$E:$E,"Yıllık izin",'İzin Kayıtları'!$I:$I,"Onaylandı",'İzin Kayıtları'!$K:$K,Listeler!$F$6))</f>
        <v>5</v>
      </c>
      <c r="J9" s="54" t="n">
        <f aca="false">IF(A9="","",G9+H9-I9)</f>
        <v>26</v>
      </c>
    </row>
    <row r="10" customFormat="false" ht="15" hidden="false" customHeight="false" outlineLevel="0" collapsed="false">
      <c r="A10" s="50" t="s">
        <v>92</v>
      </c>
      <c r="B10" s="52" t="s">
        <v>121</v>
      </c>
      <c r="C10" s="52" t="s">
        <v>120</v>
      </c>
      <c r="D10" s="52" t="s">
        <v>116</v>
      </c>
      <c r="E10" s="53" t="n">
        <v>40994</v>
      </c>
      <c r="F10" s="58" t="n">
        <f aca="false">IF(E10="","",INT((Listeler!$F$5-E10)/365.25))</f>
        <v>14</v>
      </c>
      <c r="G10" s="58" t="n">
        <f aca="false">IF(E10="","",IF(F10&lt;1,0,IF(F10&lt;5,Listeler!$F$8,IF(F10&lt;15,Listeler!$F$9,Listeler!$F$10))))</f>
        <v>20</v>
      </c>
      <c r="H10" s="50" t="n">
        <v>0</v>
      </c>
      <c r="I10" s="58" t="n">
        <f aca="false">IF(A10="","",SUMIFS('İzin Kayıtları'!$H:$H,'İzin Kayıtları'!$B:$B,A10,'İzin Kayıtları'!$E:$E,"Yıllık izin",'İzin Kayıtları'!$I:$I,"Onaylandı",'İzin Kayıtları'!$K:$K,Listeler!$F$6))</f>
        <v>2</v>
      </c>
      <c r="J10" s="54" t="n">
        <f aca="false">IF(A10="","",G10+H10-I10)</f>
        <v>18</v>
      </c>
    </row>
    <row r="11" customFormat="false" ht="15" hidden="false" customHeight="false" outlineLevel="0" collapsed="false">
      <c r="A11" s="50" t="s">
        <v>88</v>
      </c>
      <c r="B11" s="52" t="s">
        <v>122</v>
      </c>
      <c r="C11" s="52" t="s">
        <v>120</v>
      </c>
      <c r="D11" s="52" t="s">
        <v>116</v>
      </c>
      <c r="E11" s="53" t="n">
        <v>40018</v>
      </c>
      <c r="F11" s="58" t="n">
        <f aca="false">IF(E11="","",INT((Listeler!$F$5-E11)/365.25))</f>
        <v>17</v>
      </c>
      <c r="G11" s="58" t="n">
        <f aca="false">IF(E11="","",IF(F11&lt;1,0,IF(F11&lt;5,Listeler!$F$8,IF(F11&lt;15,Listeler!$F$9,Listeler!$F$10))))</f>
        <v>26</v>
      </c>
      <c r="H11" s="50" t="n">
        <v>8</v>
      </c>
      <c r="I11" s="58" t="n">
        <f aca="false">IF(A11="","",SUMIFS('İzin Kayıtları'!$H:$H,'İzin Kayıtları'!$B:$B,A11,'İzin Kayıtları'!$E:$E,"Yıllık izin",'İzin Kayıtları'!$I:$I,"Onaylandı",'İzin Kayıtları'!$K:$K,Listeler!$F$6))</f>
        <v>5</v>
      </c>
      <c r="J11" s="54" t="n">
        <f aca="false">IF(A11="","",G11+H11-I11)</f>
        <v>29</v>
      </c>
    </row>
    <row r="12" customFormat="false" ht="15" hidden="false" customHeight="false" outlineLevel="0" collapsed="false">
      <c r="A12" s="50" t="s">
        <v>93</v>
      </c>
      <c r="B12" s="52" t="s">
        <v>123</v>
      </c>
      <c r="C12" s="52" t="s">
        <v>120</v>
      </c>
      <c r="D12" s="52" t="s">
        <v>118</v>
      </c>
      <c r="E12" s="53" t="n">
        <v>44937</v>
      </c>
      <c r="F12" s="58" t="n">
        <f aca="false">IF(E12="","",INT((Listeler!$F$5-E12)/365.25))</f>
        <v>3</v>
      </c>
      <c r="G12" s="58" t="n">
        <f aca="false">IF(E12="","",IF(F12&lt;1,0,IF(F12&lt;5,Listeler!$F$8,IF(F12&lt;15,Listeler!$F$9,Listeler!$F$10))))</f>
        <v>14</v>
      </c>
      <c r="H12" s="50" t="n">
        <v>5</v>
      </c>
      <c r="I12" s="58" t="n">
        <f aca="false">IF(A12="","",SUMIFS('İzin Kayıtları'!$H:$H,'İzin Kayıtları'!$B:$B,A12,'İzin Kayıtları'!$E:$E,"Yıllık izin",'İzin Kayıtları'!$I:$I,"Onaylandı",'İzin Kayıtları'!$K:$K,Listeler!$F$6))</f>
        <v>3</v>
      </c>
      <c r="J12" s="54" t="n">
        <f aca="false">IF(A12="","",G12+H12-I12)</f>
        <v>16</v>
      </c>
    </row>
    <row r="13" customFormat="false" ht="15" hidden="false" customHeight="false" outlineLevel="0" collapsed="false">
      <c r="A13" s="50" t="s">
        <v>85</v>
      </c>
      <c r="B13" s="52" t="s">
        <v>124</v>
      </c>
      <c r="C13" s="52" t="s">
        <v>125</v>
      </c>
      <c r="D13" s="52" t="s">
        <v>126</v>
      </c>
      <c r="E13" s="53" t="n">
        <v>41225</v>
      </c>
      <c r="F13" s="58" t="n">
        <f aca="false">IF(E13="","",INT((Listeler!$F$5-E13)/365.25))</f>
        <v>13</v>
      </c>
      <c r="G13" s="58" t="n">
        <f aca="false">IF(E13="","",IF(F13&lt;1,0,IF(F13&lt;5,Listeler!$F$8,IF(F13&lt;15,Listeler!$F$9,Listeler!$F$10))))</f>
        <v>20</v>
      </c>
      <c r="H13" s="50" t="n">
        <v>0</v>
      </c>
      <c r="I13" s="58" t="n">
        <f aca="false">IF(A13="","",SUMIFS('İzin Kayıtları'!$H:$H,'İzin Kayıtları'!$B:$B,A13,'İzin Kayıtları'!$E:$E,"Yıllık izin",'İzin Kayıtları'!$I:$I,"Onaylandı",'İzin Kayıtları'!$K:$K,Listeler!$F$6))</f>
        <v>12</v>
      </c>
      <c r="J13" s="54" t="n">
        <f aca="false">IF(A13="","",G13+H13-I13)</f>
        <v>8</v>
      </c>
    </row>
    <row r="14" customFormat="false" ht="15" hidden="false" customHeight="false" outlineLevel="0" collapsed="false">
      <c r="A14" s="50" t="s">
        <v>75</v>
      </c>
      <c r="B14" s="52" t="s">
        <v>127</v>
      </c>
      <c r="C14" s="52" t="s">
        <v>125</v>
      </c>
      <c r="D14" s="52" t="s">
        <v>126</v>
      </c>
      <c r="E14" s="53" t="n">
        <v>40965</v>
      </c>
      <c r="F14" s="58" t="n">
        <f aca="false">IF(E14="","",INT((Listeler!$F$5-E14)/365.25))</f>
        <v>14</v>
      </c>
      <c r="G14" s="58" t="n">
        <f aca="false">IF(E14="","",IF(F14&lt;1,0,IF(F14&lt;5,Listeler!$F$8,IF(F14&lt;15,Listeler!$F$9,Listeler!$F$10))))</f>
        <v>20</v>
      </c>
      <c r="H14" s="50" t="n">
        <v>5</v>
      </c>
      <c r="I14" s="58" t="n">
        <f aca="false">IF(A14="","",SUMIFS('İzin Kayıtları'!$H:$H,'İzin Kayıtları'!$B:$B,A14,'İzin Kayıtları'!$E:$E,"Yıllık izin",'İzin Kayıtları'!$I:$I,"Onaylandı",'İzin Kayıtları'!$K:$K,Listeler!$F$6))</f>
        <v>0</v>
      </c>
      <c r="J14" s="54" t="n">
        <f aca="false">IF(A14="","",G14+H14-I14)</f>
        <v>25</v>
      </c>
    </row>
    <row r="15" customFormat="false" ht="15" hidden="false" customHeight="false" outlineLevel="0" collapsed="false">
      <c r="A15" s="50" t="s">
        <v>128</v>
      </c>
      <c r="B15" s="52" t="s">
        <v>129</v>
      </c>
      <c r="C15" s="52" t="s">
        <v>130</v>
      </c>
      <c r="D15" s="52" t="s">
        <v>131</v>
      </c>
      <c r="E15" s="53" t="n">
        <v>42271</v>
      </c>
      <c r="F15" s="58" t="n">
        <f aca="false">IF(E15="","",INT((Listeler!$F$5-E15)/365.25))</f>
        <v>11</v>
      </c>
      <c r="G15" s="58" t="n">
        <f aca="false">IF(E15="","",IF(F15&lt;1,0,IF(F15&lt;5,Listeler!$F$8,IF(F15&lt;15,Listeler!$F$9,Listeler!$F$10))))</f>
        <v>20</v>
      </c>
      <c r="H15" s="50" t="n">
        <v>5</v>
      </c>
      <c r="I15" s="58" t="n">
        <f aca="false">IF(A15="","",SUMIFS('İzin Kayıtları'!$H:$H,'İzin Kayıtları'!$B:$B,A15,'İzin Kayıtları'!$E:$E,"Yıllık izin",'İzin Kayıtları'!$I:$I,"Onaylandı",'İzin Kayıtları'!$K:$K,Listeler!$F$6))</f>
        <v>0</v>
      </c>
      <c r="J15" s="54" t="n">
        <f aca="false">IF(A15="","",G15+H15-I15)</f>
        <v>25</v>
      </c>
    </row>
    <row r="16" customFormat="false" ht="15" hidden="false" customHeight="false" outlineLevel="0" collapsed="false">
      <c r="A16" s="50" t="s">
        <v>132</v>
      </c>
      <c r="B16" s="52" t="s">
        <v>133</v>
      </c>
      <c r="C16" s="52" t="s">
        <v>134</v>
      </c>
      <c r="D16" s="52" t="s">
        <v>135</v>
      </c>
      <c r="E16" s="53" t="n">
        <v>44991</v>
      </c>
      <c r="F16" s="58" t="n">
        <f aca="false">IF(E16="","",INT((Listeler!$F$5-E16)/365.25))</f>
        <v>3</v>
      </c>
      <c r="G16" s="58" t="n">
        <f aca="false">IF(E16="","",IF(F16&lt;1,0,IF(F16&lt;5,Listeler!$F$8,IF(F16&lt;15,Listeler!$F$9,Listeler!$F$10))))</f>
        <v>14</v>
      </c>
      <c r="H16" s="50" t="n">
        <v>5</v>
      </c>
      <c r="I16" s="58" t="n">
        <f aca="false">IF(A16="","",SUMIFS('İzin Kayıtları'!$H:$H,'İzin Kayıtları'!$B:$B,A16,'İzin Kayıtları'!$E:$E,"Yıllık izin",'İzin Kayıtları'!$I:$I,"Onaylandı",'İzin Kayıtları'!$K:$K,Listeler!$F$6))</f>
        <v>0</v>
      </c>
      <c r="J16" s="54" t="n">
        <f aca="false">IF(A16="","",G16+H16-I16)</f>
        <v>19</v>
      </c>
    </row>
    <row r="17" customFormat="false" ht="15" hidden="false" customHeight="false" outlineLevel="0" collapsed="false">
      <c r="A17" s="50" t="s">
        <v>101</v>
      </c>
      <c r="B17" s="52" t="s">
        <v>136</v>
      </c>
      <c r="C17" s="52" t="s">
        <v>134</v>
      </c>
      <c r="D17" s="52" t="s">
        <v>135</v>
      </c>
      <c r="E17" s="53" t="n">
        <v>42791</v>
      </c>
      <c r="F17" s="58" t="n">
        <f aca="false">IF(E17="","",INT((Listeler!$F$5-E17)/365.25))</f>
        <v>9</v>
      </c>
      <c r="G17" s="58" t="n">
        <f aca="false">IF(E17="","",IF(F17&lt;1,0,IF(F17&lt;5,Listeler!$F$8,IF(F17&lt;15,Listeler!$F$9,Listeler!$F$10))))</f>
        <v>20</v>
      </c>
      <c r="H17" s="50" t="n">
        <v>0</v>
      </c>
      <c r="I17" s="58" t="n">
        <f aca="false">IF(A17="","",SUMIFS('İzin Kayıtları'!$H:$H,'İzin Kayıtları'!$B:$B,A17,'İzin Kayıtları'!$E:$E,"Yıllık izin",'İzin Kayıtları'!$I:$I,"Onaylandı",'İzin Kayıtları'!$K:$K,Listeler!$F$6))</f>
        <v>0</v>
      </c>
      <c r="J17" s="54" t="n">
        <f aca="false">IF(A17="","",G17+H17-I17)</f>
        <v>20</v>
      </c>
    </row>
    <row r="18" customFormat="false" ht="15" hidden="false" customHeight="false" outlineLevel="0" collapsed="false">
      <c r="A18" s="50" t="s">
        <v>87</v>
      </c>
      <c r="B18" s="52" t="s">
        <v>137</v>
      </c>
      <c r="C18" s="52" t="s">
        <v>138</v>
      </c>
      <c r="D18" s="52" t="s">
        <v>139</v>
      </c>
      <c r="E18" s="53" t="n">
        <v>45994</v>
      </c>
      <c r="F18" s="58" t="n">
        <f aca="false">IF(E18="","",INT((Listeler!$F$5-E18)/365.25))</f>
        <v>0</v>
      </c>
      <c r="G18" s="58" t="n">
        <f aca="false">IF(E18="","",IF(F18&lt;1,0,IF(F18&lt;5,Listeler!$F$8,IF(F18&lt;15,Listeler!$F$9,Listeler!$F$10))))</f>
        <v>0</v>
      </c>
      <c r="H18" s="50" t="n">
        <v>8</v>
      </c>
      <c r="I18" s="58" t="n">
        <f aca="false">IF(A18="","",SUMIFS('İzin Kayıtları'!$H:$H,'İzin Kayıtları'!$B:$B,A18,'İzin Kayıtları'!$E:$E,"Yıllık izin",'İzin Kayıtları'!$I:$I,"Onaylandı",'İzin Kayıtları'!$K:$K,Listeler!$F$6))</f>
        <v>5</v>
      </c>
      <c r="J18" s="54" t="n">
        <f aca="false">IF(A18="","",G18+H18-I18)</f>
        <v>3</v>
      </c>
    </row>
    <row r="19" customFormat="false" ht="15" hidden="false" customHeight="false" outlineLevel="0" collapsed="false">
      <c r="A19" s="50" t="s">
        <v>89</v>
      </c>
      <c r="B19" s="52" t="s">
        <v>140</v>
      </c>
      <c r="C19" s="52" t="s">
        <v>113</v>
      </c>
      <c r="D19" s="52" t="s">
        <v>114</v>
      </c>
      <c r="E19" s="53" t="n">
        <v>45196</v>
      </c>
      <c r="F19" s="58" t="n">
        <f aca="false">IF(E19="","",INT((Listeler!$F$5-E19)/365.25))</f>
        <v>3</v>
      </c>
      <c r="G19" s="58" t="n">
        <f aca="false">IF(E19="","",IF(F19&lt;1,0,IF(F19&lt;5,Listeler!$F$8,IF(F19&lt;15,Listeler!$F$9,Listeler!$F$10))))</f>
        <v>14</v>
      </c>
      <c r="H19" s="50" t="n">
        <v>0</v>
      </c>
      <c r="I19" s="58" t="n">
        <f aca="false">IF(A19="","",SUMIFS('İzin Kayıtları'!$H:$H,'İzin Kayıtları'!$B:$B,A19,'İzin Kayıtları'!$E:$E,"Yıllık izin",'İzin Kayıtları'!$I:$I,"Onaylandı",'İzin Kayıtları'!$K:$K,Listeler!$F$6))</f>
        <v>7</v>
      </c>
      <c r="J19" s="54" t="n">
        <f aca="false">IF(A19="","",G19+H19-I19)</f>
        <v>7</v>
      </c>
    </row>
    <row r="20" customFormat="false" ht="15" hidden="false" customHeight="false" outlineLevel="0" collapsed="false">
      <c r="A20" s="50" t="s">
        <v>94</v>
      </c>
      <c r="B20" s="52" t="s">
        <v>141</v>
      </c>
      <c r="C20" s="52" t="s">
        <v>120</v>
      </c>
      <c r="D20" s="52" t="s">
        <v>116</v>
      </c>
      <c r="E20" s="53" t="n">
        <v>44273</v>
      </c>
      <c r="F20" s="58" t="n">
        <f aca="false">IF(E20="","",INT((Listeler!$F$5-E20)/365.25))</f>
        <v>5</v>
      </c>
      <c r="G20" s="58" t="n">
        <f aca="false">IF(E20="","",IF(F20&lt;1,0,IF(F20&lt;5,Listeler!$F$8,IF(F20&lt;15,Listeler!$F$9,Listeler!$F$10))))</f>
        <v>20</v>
      </c>
      <c r="H20" s="50" t="n">
        <v>2</v>
      </c>
      <c r="I20" s="58" t="n">
        <f aca="false">IF(A20="","",SUMIFS('İzin Kayıtları'!$H:$H,'İzin Kayıtları'!$B:$B,A20,'İzin Kayıtları'!$E:$E,"Yıllık izin",'İzin Kayıtları'!$I:$I,"Onaylandı",'İzin Kayıtları'!$K:$K,Listeler!$F$6))</f>
        <v>1</v>
      </c>
      <c r="J20" s="54" t="n">
        <f aca="false">IF(A20="","",G20+H20-I20)</f>
        <v>21</v>
      </c>
    </row>
    <row r="21" customFormat="false" ht="15" hidden="false" customHeight="false" outlineLevel="0" collapsed="false">
      <c r="A21" s="50" t="s">
        <v>142</v>
      </c>
      <c r="B21" s="52" t="s">
        <v>143</v>
      </c>
      <c r="C21" s="52" t="s">
        <v>120</v>
      </c>
      <c r="D21" s="52" t="s">
        <v>116</v>
      </c>
      <c r="E21" s="53" t="n">
        <v>44425</v>
      </c>
      <c r="F21" s="58" t="n">
        <f aca="false">IF(E21="","",INT((Listeler!$F$5-E21)/365.25))</f>
        <v>5</v>
      </c>
      <c r="G21" s="58" t="n">
        <f aca="false">IF(E21="","",IF(F21&lt;1,0,IF(F21&lt;5,Listeler!$F$8,IF(F21&lt;15,Listeler!$F$9,Listeler!$F$10))))</f>
        <v>20</v>
      </c>
      <c r="H21" s="50" t="n">
        <v>2</v>
      </c>
      <c r="I21" s="58" t="n">
        <f aca="false">IF(A21="","",SUMIFS('İzin Kayıtları'!$H:$H,'İzin Kayıtları'!$B:$B,A21,'İzin Kayıtları'!$E:$E,"Yıllık izin",'İzin Kayıtları'!$I:$I,"Onaylandı",'İzin Kayıtları'!$K:$K,Listeler!$F$6))</f>
        <v>0</v>
      </c>
      <c r="J21" s="54" t="n">
        <f aca="false">IF(A21="","",G21+H21-I21)</f>
        <v>22</v>
      </c>
    </row>
    <row r="22" customFormat="false" ht="15" hidden="false" customHeight="false" outlineLevel="0" collapsed="false">
      <c r="A22" s="50" t="s">
        <v>80</v>
      </c>
      <c r="B22" s="52" t="s">
        <v>144</v>
      </c>
      <c r="C22" s="52" t="s">
        <v>113</v>
      </c>
      <c r="D22" s="52" t="s">
        <v>116</v>
      </c>
      <c r="E22" s="53" t="n">
        <v>45116</v>
      </c>
      <c r="F22" s="58" t="n">
        <f aca="false">IF(E22="","",INT((Listeler!$F$5-E22)/365.25))</f>
        <v>3</v>
      </c>
      <c r="G22" s="58" t="n">
        <f aca="false">IF(E22="","",IF(F22&lt;1,0,IF(F22&lt;5,Listeler!$F$8,IF(F22&lt;15,Listeler!$F$9,Listeler!$F$10))))</f>
        <v>14</v>
      </c>
      <c r="H22" s="50" t="n">
        <v>0</v>
      </c>
      <c r="I22" s="58" t="n">
        <f aca="false">IF(A22="","",SUMIFS('İzin Kayıtları'!$H:$H,'İzin Kayıtları'!$B:$B,A22,'İzin Kayıtları'!$E:$E,"Yıllık izin",'İzin Kayıtları'!$I:$I,"Onaylandı",'İzin Kayıtları'!$K:$K,Listeler!$F$6))</f>
        <v>3</v>
      </c>
      <c r="J22" s="54" t="n">
        <f aca="false">IF(A22="","",G22+H22-I22)</f>
        <v>11</v>
      </c>
    </row>
    <row r="23" customFormat="false" ht="15" hidden="false" customHeight="false" outlineLevel="0" collapsed="false">
      <c r="A23" s="50" t="s">
        <v>99</v>
      </c>
      <c r="B23" s="52" t="s">
        <v>145</v>
      </c>
      <c r="C23" s="52" t="s">
        <v>125</v>
      </c>
      <c r="D23" s="52" t="s">
        <v>146</v>
      </c>
      <c r="E23" s="53" t="n">
        <v>42361</v>
      </c>
      <c r="F23" s="58" t="n">
        <f aca="false">IF(E23="","",INT((Listeler!$F$5-E23)/365.25))</f>
        <v>10</v>
      </c>
      <c r="G23" s="58" t="n">
        <f aca="false">IF(E23="","",IF(F23&lt;1,0,IF(F23&lt;5,Listeler!$F$8,IF(F23&lt;15,Listeler!$F$9,Listeler!$F$10))))</f>
        <v>20</v>
      </c>
      <c r="H23" s="50" t="n">
        <v>0</v>
      </c>
      <c r="I23" s="58" t="n">
        <f aca="false">IF(A23="","",SUMIFS('İzin Kayıtları'!$H:$H,'İzin Kayıtları'!$B:$B,A23,'İzin Kayıtları'!$E:$E,"Yıllık izin",'İzin Kayıtları'!$I:$I,"Onaylandı",'İzin Kayıtları'!$K:$K,Listeler!$F$6))</f>
        <v>0</v>
      </c>
      <c r="J23" s="54" t="n">
        <f aca="false">IF(A23="","",G23+H23-I23)</f>
        <v>20</v>
      </c>
    </row>
    <row r="24" customFormat="false" ht="15" hidden="false" customHeight="false" outlineLevel="0" collapsed="false">
      <c r="A24" s="50" t="s">
        <v>97</v>
      </c>
      <c r="B24" s="52" t="s">
        <v>147</v>
      </c>
      <c r="C24" s="52" t="s">
        <v>130</v>
      </c>
      <c r="D24" s="52" t="s">
        <v>148</v>
      </c>
      <c r="E24" s="53" t="n">
        <v>44975</v>
      </c>
      <c r="F24" s="58" t="n">
        <f aca="false">IF(E24="","",INT((Listeler!$F$5-E24)/365.25))</f>
        <v>3</v>
      </c>
      <c r="G24" s="58" t="n">
        <f aca="false">IF(E24="","",IF(F24&lt;1,0,IF(F24&lt;5,Listeler!$F$8,IF(F24&lt;15,Listeler!$F$9,Listeler!$F$10))))</f>
        <v>14</v>
      </c>
      <c r="H24" s="50" t="n">
        <v>8</v>
      </c>
      <c r="I24" s="58" t="n">
        <f aca="false">IF(A24="","",SUMIFS('İzin Kayıtları'!$H:$H,'İzin Kayıtları'!$B:$B,A24,'İzin Kayıtları'!$E:$E,"Yıllık izin",'İzin Kayıtları'!$I:$I,"Onaylandı",'İzin Kayıtları'!$K:$K,Listeler!$F$6))</f>
        <v>10</v>
      </c>
      <c r="J24" s="54" t="n">
        <f aca="false">IF(A24="","",G24+H24-I24)</f>
        <v>12</v>
      </c>
    </row>
    <row r="25" customFormat="false" ht="15" hidden="false" customHeight="false" outlineLevel="0" collapsed="false">
      <c r="A25" s="50" t="s">
        <v>78</v>
      </c>
      <c r="B25" s="52" t="s">
        <v>149</v>
      </c>
      <c r="C25" s="52" t="s">
        <v>120</v>
      </c>
      <c r="D25" s="52" t="s">
        <v>118</v>
      </c>
      <c r="E25" s="53" t="n">
        <v>45826</v>
      </c>
      <c r="F25" s="58" t="n">
        <f aca="false">IF(E25="","",INT((Listeler!$F$5-E25)/365.25))</f>
        <v>1</v>
      </c>
      <c r="G25" s="58" t="n">
        <f aca="false">IF(E25="","",IF(F25&lt;1,0,IF(F25&lt;5,Listeler!$F$8,IF(F25&lt;15,Listeler!$F$9,Listeler!$F$10))))</f>
        <v>14</v>
      </c>
      <c r="H25" s="50" t="n">
        <v>0</v>
      </c>
      <c r="I25" s="58" t="n">
        <f aca="false">IF(A25="","",SUMIFS('İzin Kayıtları'!$H:$H,'İzin Kayıtları'!$B:$B,A25,'İzin Kayıtları'!$E:$E,"Yıllık izin",'İzin Kayıtları'!$I:$I,"Onaylandı",'İzin Kayıtları'!$K:$K,Listeler!$F$6))</f>
        <v>6</v>
      </c>
      <c r="J25" s="54" t="n">
        <f aca="false">IF(A25="","",G25+H25-I25)</f>
        <v>8</v>
      </c>
    </row>
    <row r="26" customFormat="false" ht="15" hidden="false" customHeight="false" outlineLevel="0" collapsed="false">
      <c r="A26" s="50" t="s">
        <v>86</v>
      </c>
      <c r="B26" s="52" t="s">
        <v>150</v>
      </c>
      <c r="C26" s="52" t="s">
        <v>113</v>
      </c>
      <c r="D26" s="52" t="s">
        <v>118</v>
      </c>
      <c r="E26" s="53" t="n">
        <v>42314</v>
      </c>
      <c r="F26" s="58" t="n">
        <f aca="false">IF(E26="","",INT((Listeler!$F$5-E26)/365.25))</f>
        <v>10</v>
      </c>
      <c r="G26" s="58" t="n">
        <f aca="false">IF(E26="","",IF(F26&lt;1,0,IF(F26&lt;5,Listeler!$F$8,IF(F26&lt;15,Listeler!$F$9,Listeler!$F$10))))</f>
        <v>20</v>
      </c>
      <c r="H26" s="50" t="n">
        <v>2</v>
      </c>
      <c r="I26" s="58" t="n">
        <f aca="false">IF(A26="","",SUMIFS('İzin Kayıtları'!$H:$H,'İzin Kayıtları'!$B:$B,A26,'İzin Kayıtları'!$E:$E,"Yıllık izin",'İzin Kayıtları'!$I:$I,"Onaylandı",'İzin Kayıtları'!$K:$K,Listeler!$F$6))</f>
        <v>4</v>
      </c>
      <c r="J26" s="54" t="n">
        <f aca="false">IF(A26="","",G26+H26-I26)</f>
        <v>18</v>
      </c>
    </row>
    <row r="27" customFormat="false" ht="15" hidden="false" customHeight="false" outlineLevel="0" collapsed="false">
      <c r="A27" s="50" t="s">
        <v>91</v>
      </c>
      <c r="B27" s="52" t="s">
        <v>151</v>
      </c>
      <c r="C27" s="52" t="s">
        <v>120</v>
      </c>
      <c r="D27" s="52" t="s">
        <v>118</v>
      </c>
      <c r="E27" s="53" t="n">
        <v>44372</v>
      </c>
      <c r="F27" s="58" t="n">
        <f aca="false">IF(E27="","",INT((Listeler!$F$5-E27)/365.25))</f>
        <v>5</v>
      </c>
      <c r="G27" s="58" t="n">
        <f aca="false">IF(E27="","",IF(F27&lt;1,0,IF(F27&lt;5,Listeler!$F$8,IF(F27&lt;15,Listeler!$F$9,Listeler!$F$10))))</f>
        <v>20</v>
      </c>
      <c r="H27" s="50" t="n">
        <v>2</v>
      </c>
      <c r="I27" s="58" t="n">
        <f aca="false">IF(A27="","",SUMIFS('İzin Kayıtları'!$H:$H,'İzin Kayıtları'!$B:$B,A27,'İzin Kayıtları'!$E:$E,"Yıllık izin",'İzin Kayıtları'!$I:$I,"Onaylandı",'İzin Kayıtları'!$K:$K,Listeler!$F$6))</f>
        <v>7</v>
      </c>
      <c r="J27" s="54" t="n">
        <f aca="false">IF(A27="","",G27+H27-I27)</f>
        <v>15</v>
      </c>
    </row>
    <row r="28" customFormat="false" ht="15" hidden="false" customHeight="false" outlineLevel="0" collapsed="false">
      <c r="A28" s="50" t="s">
        <v>95</v>
      </c>
      <c r="B28" s="52" t="s">
        <v>152</v>
      </c>
      <c r="C28" s="52" t="s">
        <v>134</v>
      </c>
      <c r="D28" s="52" t="s">
        <v>135</v>
      </c>
      <c r="E28" s="53" t="n">
        <v>42772</v>
      </c>
      <c r="F28" s="58" t="n">
        <f aca="false">IF(E28="","",INT((Listeler!$F$5-E28)/365.25))</f>
        <v>9</v>
      </c>
      <c r="G28" s="58" t="n">
        <f aca="false">IF(E28="","",IF(F28&lt;1,0,IF(F28&lt;5,Listeler!$F$8,IF(F28&lt;15,Listeler!$F$9,Listeler!$F$10))))</f>
        <v>20</v>
      </c>
      <c r="H28" s="50" t="n">
        <v>0</v>
      </c>
      <c r="I28" s="58" t="n">
        <f aca="false">IF(A28="","",SUMIFS('İzin Kayıtları'!$H:$H,'İzin Kayıtları'!$B:$B,A28,'İzin Kayıtları'!$E:$E,"Yıllık izin",'İzin Kayıtları'!$I:$I,"Onaylandı",'İzin Kayıtları'!$K:$K,Listeler!$F$6))</f>
        <v>8</v>
      </c>
      <c r="J28" s="54" t="n">
        <f aca="false">IF(A28="","",G28+H28-I28)</f>
        <v>12</v>
      </c>
    </row>
    <row r="29" customFormat="false" ht="15" hidden="false" customHeight="false" outlineLevel="0" collapsed="false">
      <c r="A29" s="50" t="s">
        <v>81</v>
      </c>
      <c r="B29" s="52" t="s">
        <v>153</v>
      </c>
      <c r="C29" s="52" t="s">
        <v>113</v>
      </c>
      <c r="D29" s="52" t="s">
        <v>118</v>
      </c>
      <c r="E29" s="53" t="n">
        <v>44718</v>
      </c>
      <c r="F29" s="58" t="n">
        <f aca="false">IF(E29="","",INT((Listeler!$F$5-E29)/365.25))</f>
        <v>4</v>
      </c>
      <c r="G29" s="58" t="n">
        <f aca="false">IF(E29="","",IF(F29&lt;1,0,IF(F29&lt;5,Listeler!$F$8,IF(F29&lt;15,Listeler!$F$9,Listeler!$F$10))))</f>
        <v>14</v>
      </c>
      <c r="H29" s="50" t="n">
        <v>0</v>
      </c>
      <c r="I29" s="58" t="n">
        <f aca="false">IF(A29="","",SUMIFS('İzin Kayıtları'!$H:$H,'İzin Kayıtları'!$B:$B,A29,'İzin Kayıtları'!$E:$E,"Yıllık izin",'İzin Kayıtları'!$I:$I,"Onaylandı",'İzin Kayıtları'!$K:$K,Listeler!$F$6))</f>
        <v>2</v>
      </c>
      <c r="J29" s="54" t="n">
        <f aca="false">IF(A29="","",G29+H29-I29)</f>
        <v>12</v>
      </c>
    </row>
    <row r="30" customFormat="false" ht="15" hidden="false" customHeight="false" outlineLevel="0" collapsed="false">
      <c r="A30" s="50" t="s">
        <v>82</v>
      </c>
      <c r="B30" s="52" t="s">
        <v>154</v>
      </c>
      <c r="C30" s="52" t="s">
        <v>120</v>
      </c>
      <c r="D30" s="52" t="s">
        <v>116</v>
      </c>
      <c r="E30" s="53" t="n">
        <v>45604</v>
      </c>
      <c r="F30" s="58" t="n">
        <f aca="false">IF(E30="","",INT((Listeler!$F$5-E30)/365.25))</f>
        <v>1</v>
      </c>
      <c r="G30" s="58" t="n">
        <f aca="false">IF(E30="","",IF(F30&lt;1,0,IF(F30&lt;5,Listeler!$F$8,IF(F30&lt;15,Listeler!$F$9,Listeler!$F$10))))</f>
        <v>14</v>
      </c>
      <c r="H30" s="50" t="n">
        <v>0</v>
      </c>
      <c r="I30" s="58" t="n">
        <f aca="false">IF(A30="","",SUMIFS('İzin Kayıtları'!$H:$H,'İzin Kayıtları'!$B:$B,A30,'İzin Kayıtları'!$E:$E,"Yıllık izin",'İzin Kayıtları'!$I:$I,"Onaylandı",'İzin Kayıtları'!$K:$K,Listeler!$F$6))</f>
        <v>5</v>
      </c>
      <c r="J30" s="54" t="n">
        <f aca="false">IF(A30="","",G30+H30-I30)</f>
        <v>9</v>
      </c>
    </row>
    <row r="31" customFormat="false" ht="15" hidden="false" customHeight="false" outlineLevel="0" collapsed="false">
      <c r="A31" s="50"/>
      <c r="B31" s="50"/>
      <c r="C31" s="50"/>
      <c r="D31" s="50"/>
      <c r="E31" s="53"/>
      <c r="F31" s="58" t="str">
        <f aca="false">IF(E31="","",INT((Listeler!$F$5-E31)/365.25))</f>
        <v/>
      </c>
      <c r="G31" s="58" t="str">
        <f aca="false">IF(E31="","",IF(F31&lt;1,0,IF(F31&lt;5,Listeler!$F$8,IF(F31&lt;15,Listeler!$F$9,Listeler!$F$10))))</f>
        <v/>
      </c>
      <c r="H31" s="50"/>
      <c r="I31" s="58" t="str">
        <f aca="false">IF(A31="","",SUMIFS('İzin Kayıtları'!$H:$H,'İzin Kayıtları'!$B:$B,A31,'İzin Kayıtları'!$E:$E,"Yıllık izin",'İzin Kayıtları'!$I:$I,"Onaylandı",'İzin Kayıtları'!$K:$K,Listeler!$F$6))</f>
        <v/>
      </c>
      <c r="J31" s="54" t="str">
        <f aca="false">IF(A31="","",G31+H31-I31)</f>
        <v/>
      </c>
    </row>
    <row r="32" customFormat="false" ht="15" hidden="false" customHeight="false" outlineLevel="0" collapsed="false">
      <c r="A32" s="50"/>
      <c r="B32" s="50"/>
      <c r="C32" s="50"/>
      <c r="D32" s="50"/>
      <c r="E32" s="53"/>
      <c r="F32" s="58" t="str">
        <f aca="false">IF(E32="","",INT((Listeler!$F$5-E32)/365.25))</f>
        <v/>
      </c>
      <c r="G32" s="58" t="str">
        <f aca="false">IF(E32="","",IF(F32&lt;1,0,IF(F32&lt;5,Listeler!$F$8,IF(F32&lt;15,Listeler!$F$9,Listeler!$F$10))))</f>
        <v/>
      </c>
      <c r="H32" s="50"/>
      <c r="I32" s="58" t="str">
        <f aca="false">IF(A32="","",SUMIFS('İzin Kayıtları'!$H:$H,'İzin Kayıtları'!$B:$B,A32,'İzin Kayıtları'!$E:$E,"Yıllık izin",'İzin Kayıtları'!$I:$I,"Onaylandı",'İzin Kayıtları'!$K:$K,Listeler!$F$6))</f>
        <v/>
      </c>
      <c r="J32" s="54" t="str">
        <f aca="false">IF(A32="","",G32+H32-I32)</f>
        <v/>
      </c>
    </row>
    <row r="33" customFormat="false" ht="15" hidden="false" customHeight="false" outlineLevel="0" collapsed="false">
      <c r="A33" s="50"/>
      <c r="B33" s="50"/>
      <c r="C33" s="50"/>
      <c r="D33" s="50"/>
      <c r="E33" s="53"/>
      <c r="F33" s="58" t="str">
        <f aca="false">IF(E33="","",INT((Listeler!$F$5-E33)/365.25))</f>
        <v/>
      </c>
      <c r="G33" s="58" t="str">
        <f aca="false">IF(E33="","",IF(F33&lt;1,0,IF(F33&lt;5,Listeler!$F$8,IF(F33&lt;15,Listeler!$F$9,Listeler!$F$10))))</f>
        <v/>
      </c>
      <c r="H33" s="50"/>
      <c r="I33" s="58" t="str">
        <f aca="false">IF(A33="","",SUMIFS('İzin Kayıtları'!$H:$H,'İzin Kayıtları'!$B:$B,A33,'İzin Kayıtları'!$E:$E,"Yıllık izin",'İzin Kayıtları'!$I:$I,"Onaylandı",'İzin Kayıtları'!$K:$K,Listeler!$F$6))</f>
        <v/>
      </c>
      <c r="J33" s="54" t="str">
        <f aca="false">IF(A33="","",G33+H33-I33)</f>
        <v/>
      </c>
    </row>
    <row r="34" customFormat="false" ht="15" hidden="false" customHeight="false" outlineLevel="0" collapsed="false">
      <c r="A34" s="50"/>
      <c r="B34" s="50"/>
      <c r="C34" s="50"/>
      <c r="D34" s="50"/>
      <c r="E34" s="53"/>
      <c r="F34" s="58" t="str">
        <f aca="false">IF(E34="","",INT((Listeler!$F$5-E34)/365.25))</f>
        <v/>
      </c>
      <c r="G34" s="58" t="str">
        <f aca="false">IF(E34="","",IF(F34&lt;1,0,IF(F34&lt;5,Listeler!$F$8,IF(F34&lt;15,Listeler!$F$9,Listeler!$F$10))))</f>
        <v/>
      </c>
      <c r="H34" s="50"/>
      <c r="I34" s="58" t="str">
        <f aca="false">IF(A34="","",SUMIFS('İzin Kayıtları'!$H:$H,'İzin Kayıtları'!$B:$B,A34,'İzin Kayıtları'!$E:$E,"Yıllık izin",'İzin Kayıtları'!$I:$I,"Onaylandı",'İzin Kayıtları'!$K:$K,Listeler!$F$6))</f>
        <v/>
      </c>
      <c r="J34" s="54" t="str">
        <f aca="false">IF(A34="","",G34+H34-I34)</f>
        <v/>
      </c>
    </row>
    <row r="35" customFormat="false" ht="15" hidden="false" customHeight="false" outlineLevel="0" collapsed="false">
      <c r="A35" s="50"/>
      <c r="B35" s="50"/>
      <c r="C35" s="50"/>
      <c r="D35" s="50"/>
      <c r="E35" s="53"/>
      <c r="F35" s="58" t="str">
        <f aca="false">IF(E35="","",INT((Listeler!$F$5-E35)/365.25))</f>
        <v/>
      </c>
      <c r="G35" s="58" t="str">
        <f aca="false">IF(E35="","",IF(F35&lt;1,0,IF(F35&lt;5,Listeler!$F$8,IF(F35&lt;15,Listeler!$F$9,Listeler!$F$10))))</f>
        <v/>
      </c>
      <c r="H35" s="50"/>
      <c r="I35" s="58" t="str">
        <f aca="false">IF(A35="","",SUMIFS('İzin Kayıtları'!$H:$H,'İzin Kayıtları'!$B:$B,A35,'İzin Kayıtları'!$E:$E,"Yıllık izin",'İzin Kayıtları'!$I:$I,"Onaylandı",'İzin Kayıtları'!$K:$K,Listeler!$F$6))</f>
        <v/>
      </c>
      <c r="J35" s="54" t="str">
        <f aca="false">IF(A35="","",G35+H35-I35)</f>
        <v/>
      </c>
    </row>
    <row r="36" customFormat="false" ht="15" hidden="false" customHeight="false" outlineLevel="0" collapsed="false">
      <c r="A36" s="50"/>
      <c r="B36" s="50"/>
      <c r="C36" s="50"/>
      <c r="D36" s="50"/>
      <c r="E36" s="53"/>
      <c r="F36" s="58" t="str">
        <f aca="false">IF(E36="","",INT((Listeler!$F$5-E36)/365.25))</f>
        <v/>
      </c>
      <c r="G36" s="58" t="str">
        <f aca="false">IF(E36="","",IF(F36&lt;1,0,IF(F36&lt;5,Listeler!$F$8,IF(F36&lt;15,Listeler!$F$9,Listeler!$F$10))))</f>
        <v/>
      </c>
      <c r="H36" s="50"/>
      <c r="I36" s="58" t="str">
        <f aca="false">IF(A36="","",SUMIFS('İzin Kayıtları'!$H:$H,'İzin Kayıtları'!$B:$B,A36,'İzin Kayıtları'!$E:$E,"Yıllık izin",'İzin Kayıtları'!$I:$I,"Onaylandı",'İzin Kayıtları'!$K:$K,Listeler!$F$6))</f>
        <v/>
      </c>
      <c r="J36" s="54" t="str">
        <f aca="false">IF(A36="","",G36+H36-I36)</f>
        <v/>
      </c>
    </row>
    <row r="37" customFormat="false" ht="15" hidden="false" customHeight="false" outlineLevel="0" collapsed="false">
      <c r="A37" s="50"/>
      <c r="B37" s="50"/>
      <c r="C37" s="50"/>
      <c r="D37" s="50"/>
      <c r="E37" s="53"/>
      <c r="F37" s="58" t="str">
        <f aca="false">IF(E37="","",INT((Listeler!$F$5-E37)/365.25))</f>
        <v/>
      </c>
      <c r="G37" s="58" t="str">
        <f aca="false">IF(E37="","",IF(F37&lt;1,0,IF(F37&lt;5,Listeler!$F$8,IF(F37&lt;15,Listeler!$F$9,Listeler!$F$10))))</f>
        <v/>
      </c>
      <c r="H37" s="50"/>
      <c r="I37" s="58" t="str">
        <f aca="false">IF(A37="","",SUMIFS('İzin Kayıtları'!$H:$H,'İzin Kayıtları'!$B:$B,A37,'İzin Kayıtları'!$E:$E,"Yıllık izin",'İzin Kayıtları'!$I:$I,"Onaylandı",'İzin Kayıtları'!$K:$K,Listeler!$F$6))</f>
        <v/>
      </c>
      <c r="J37" s="54" t="str">
        <f aca="false">IF(A37="","",G37+H37-I37)</f>
        <v/>
      </c>
    </row>
    <row r="38" customFormat="false" ht="15" hidden="false" customHeight="false" outlineLevel="0" collapsed="false">
      <c r="A38" s="50"/>
      <c r="B38" s="50"/>
      <c r="C38" s="50"/>
      <c r="D38" s="50"/>
      <c r="E38" s="53"/>
      <c r="F38" s="58" t="str">
        <f aca="false">IF(E38="","",INT((Listeler!$F$5-E38)/365.25))</f>
        <v/>
      </c>
      <c r="G38" s="58" t="str">
        <f aca="false">IF(E38="","",IF(F38&lt;1,0,IF(F38&lt;5,Listeler!$F$8,IF(F38&lt;15,Listeler!$F$9,Listeler!$F$10))))</f>
        <v/>
      </c>
      <c r="H38" s="50"/>
      <c r="I38" s="58" t="str">
        <f aca="false">IF(A38="","",SUMIFS('İzin Kayıtları'!$H:$H,'İzin Kayıtları'!$B:$B,A38,'İzin Kayıtları'!$E:$E,"Yıllık izin",'İzin Kayıtları'!$I:$I,"Onaylandı",'İzin Kayıtları'!$K:$K,Listeler!$F$6))</f>
        <v/>
      </c>
      <c r="J38" s="54" t="str">
        <f aca="false">IF(A38="","",G38+H38-I38)</f>
        <v/>
      </c>
    </row>
    <row r="39" customFormat="false" ht="15" hidden="false" customHeight="false" outlineLevel="0" collapsed="false">
      <c r="A39" s="50"/>
      <c r="B39" s="50"/>
      <c r="C39" s="50"/>
      <c r="D39" s="50"/>
      <c r="E39" s="53"/>
      <c r="F39" s="58" t="str">
        <f aca="false">IF(E39="","",INT((Listeler!$F$5-E39)/365.25))</f>
        <v/>
      </c>
      <c r="G39" s="58" t="str">
        <f aca="false">IF(E39="","",IF(F39&lt;1,0,IF(F39&lt;5,Listeler!$F$8,IF(F39&lt;15,Listeler!$F$9,Listeler!$F$10))))</f>
        <v/>
      </c>
      <c r="H39" s="50"/>
      <c r="I39" s="58" t="str">
        <f aca="false">IF(A39="","",SUMIFS('İzin Kayıtları'!$H:$H,'İzin Kayıtları'!$B:$B,A39,'İzin Kayıtları'!$E:$E,"Yıllık izin",'İzin Kayıtları'!$I:$I,"Onaylandı",'İzin Kayıtları'!$K:$K,Listeler!$F$6))</f>
        <v/>
      </c>
      <c r="J39" s="54" t="str">
        <f aca="false">IF(A39="","",G39+H39-I39)</f>
        <v/>
      </c>
    </row>
    <row r="40" customFormat="false" ht="15" hidden="false" customHeight="false" outlineLevel="0" collapsed="false">
      <c r="A40" s="50"/>
      <c r="B40" s="50"/>
      <c r="C40" s="50"/>
      <c r="D40" s="50"/>
      <c r="E40" s="53"/>
      <c r="F40" s="58" t="str">
        <f aca="false">IF(E40="","",INT((Listeler!$F$5-E40)/365.25))</f>
        <v/>
      </c>
      <c r="G40" s="58" t="str">
        <f aca="false">IF(E40="","",IF(F40&lt;1,0,IF(F40&lt;5,Listeler!$F$8,IF(F40&lt;15,Listeler!$F$9,Listeler!$F$10))))</f>
        <v/>
      </c>
      <c r="H40" s="50"/>
      <c r="I40" s="58" t="str">
        <f aca="false">IF(A40="","",SUMIFS('İzin Kayıtları'!$H:$H,'İzin Kayıtları'!$B:$B,A40,'İzin Kayıtları'!$E:$E,"Yıllık izin",'İzin Kayıtları'!$I:$I,"Onaylandı",'İzin Kayıtları'!$K:$K,Listeler!$F$6))</f>
        <v/>
      </c>
      <c r="J40" s="54" t="str">
        <f aca="false">IF(A40="","",G40+H40-I40)</f>
        <v/>
      </c>
    </row>
    <row r="41" customFormat="false" ht="15" hidden="false" customHeight="false" outlineLevel="0" collapsed="false">
      <c r="A41" s="50"/>
      <c r="B41" s="50"/>
      <c r="C41" s="50"/>
      <c r="D41" s="50"/>
      <c r="E41" s="53"/>
      <c r="F41" s="58" t="str">
        <f aca="false">IF(E41="","",INT((Listeler!$F$5-E41)/365.25))</f>
        <v/>
      </c>
      <c r="G41" s="58" t="str">
        <f aca="false">IF(E41="","",IF(F41&lt;1,0,IF(F41&lt;5,Listeler!$F$8,IF(F41&lt;15,Listeler!$F$9,Listeler!$F$10))))</f>
        <v/>
      </c>
      <c r="H41" s="50"/>
      <c r="I41" s="58" t="str">
        <f aca="false">IF(A41="","",SUMIFS('İzin Kayıtları'!$H:$H,'İzin Kayıtları'!$B:$B,A41,'İzin Kayıtları'!$E:$E,"Yıllık izin",'İzin Kayıtları'!$I:$I,"Onaylandı",'İzin Kayıtları'!$K:$K,Listeler!$F$6))</f>
        <v/>
      </c>
      <c r="J41" s="54" t="str">
        <f aca="false">IF(A41="","",G41+H41-I41)</f>
        <v/>
      </c>
    </row>
    <row r="42" customFormat="false" ht="15" hidden="false" customHeight="false" outlineLevel="0" collapsed="false">
      <c r="A42" s="50"/>
      <c r="B42" s="50"/>
      <c r="C42" s="50"/>
      <c r="D42" s="50"/>
      <c r="E42" s="53"/>
      <c r="F42" s="58" t="str">
        <f aca="false">IF(E42="","",INT((Listeler!$F$5-E42)/365.25))</f>
        <v/>
      </c>
      <c r="G42" s="58" t="str">
        <f aca="false">IF(E42="","",IF(F42&lt;1,0,IF(F42&lt;5,Listeler!$F$8,IF(F42&lt;15,Listeler!$F$9,Listeler!$F$10))))</f>
        <v/>
      </c>
      <c r="H42" s="50"/>
      <c r="I42" s="58" t="str">
        <f aca="false">IF(A42="","",SUMIFS('İzin Kayıtları'!$H:$H,'İzin Kayıtları'!$B:$B,A42,'İzin Kayıtları'!$E:$E,"Yıllık izin",'İzin Kayıtları'!$I:$I,"Onaylandı",'İzin Kayıtları'!$K:$K,Listeler!$F$6))</f>
        <v/>
      </c>
      <c r="J42" s="54" t="str">
        <f aca="false">IF(A42="","",G42+H42-I42)</f>
        <v/>
      </c>
    </row>
    <row r="43" customFormat="false" ht="15" hidden="false" customHeight="false" outlineLevel="0" collapsed="false">
      <c r="A43" s="50"/>
      <c r="B43" s="50"/>
      <c r="C43" s="50"/>
      <c r="D43" s="50"/>
      <c r="E43" s="53"/>
      <c r="F43" s="58" t="str">
        <f aca="false">IF(E43="","",INT((Listeler!$F$5-E43)/365.25))</f>
        <v/>
      </c>
      <c r="G43" s="58" t="str">
        <f aca="false">IF(E43="","",IF(F43&lt;1,0,IF(F43&lt;5,Listeler!$F$8,IF(F43&lt;15,Listeler!$F$9,Listeler!$F$10))))</f>
        <v/>
      </c>
      <c r="H43" s="50"/>
      <c r="I43" s="58" t="str">
        <f aca="false">IF(A43="","",SUMIFS('İzin Kayıtları'!$H:$H,'İzin Kayıtları'!$B:$B,A43,'İzin Kayıtları'!$E:$E,"Yıllık izin",'İzin Kayıtları'!$I:$I,"Onaylandı",'İzin Kayıtları'!$K:$K,Listeler!$F$6))</f>
        <v/>
      </c>
      <c r="J43" s="54" t="str">
        <f aca="false">IF(A43="","",G43+H43-I43)</f>
        <v/>
      </c>
    </row>
    <row r="44" customFormat="false" ht="15" hidden="false" customHeight="false" outlineLevel="0" collapsed="false">
      <c r="A44" s="50"/>
      <c r="B44" s="50"/>
      <c r="C44" s="50"/>
      <c r="D44" s="50"/>
      <c r="E44" s="53"/>
      <c r="F44" s="58" t="str">
        <f aca="false">IF(E44="","",INT((Listeler!$F$5-E44)/365.25))</f>
        <v/>
      </c>
      <c r="G44" s="58" t="str">
        <f aca="false">IF(E44="","",IF(F44&lt;1,0,IF(F44&lt;5,Listeler!$F$8,IF(F44&lt;15,Listeler!$F$9,Listeler!$F$10))))</f>
        <v/>
      </c>
      <c r="H44" s="50"/>
      <c r="I44" s="58" t="str">
        <f aca="false">IF(A44="","",SUMIFS('İzin Kayıtları'!$H:$H,'İzin Kayıtları'!$B:$B,A44,'İzin Kayıtları'!$E:$E,"Yıllık izin",'İzin Kayıtları'!$I:$I,"Onaylandı",'İzin Kayıtları'!$K:$K,Listeler!$F$6))</f>
        <v/>
      </c>
      <c r="J44" s="54" t="str">
        <f aca="false">IF(A44="","",G44+H44-I44)</f>
        <v/>
      </c>
    </row>
    <row r="45" customFormat="false" ht="15" hidden="false" customHeight="false" outlineLevel="0" collapsed="false">
      <c r="A45" s="50"/>
      <c r="B45" s="50"/>
      <c r="C45" s="50"/>
      <c r="D45" s="50"/>
      <c r="E45" s="53"/>
      <c r="F45" s="58" t="str">
        <f aca="false">IF(E45="","",INT((Listeler!$F$5-E45)/365.25))</f>
        <v/>
      </c>
      <c r="G45" s="58" t="str">
        <f aca="false">IF(E45="","",IF(F45&lt;1,0,IF(F45&lt;5,Listeler!$F$8,IF(F45&lt;15,Listeler!$F$9,Listeler!$F$10))))</f>
        <v/>
      </c>
      <c r="H45" s="50"/>
      <c r="I45" s="58" t="str">
        <f aca="false">IF(A45="","",SUMIFS('İzin Kayıtları'!$H:$H,'İzin Kayıtları'!$B:$B,A45,'İzin Kayıtları'!$E:$E,"Yıllık izin",'İzin Kayıtları'!$I:$I,"Onaylandı",'İzin Kayıtları'!$K:$K,Listeler!$F$6))</f>
        <v/>
      </c>
      <c r="J45" s="54" t="str">
        <f aca="false">IF(A45="","",G45+H45-I45)</f>
        <v/>
      </c>
    </row>
    <row r="46" customFormat="false" ht="15" hidden="false" customHeight="false" outlineLevel="0" collapsed="false">
      <c r="A46" s="50"/>
      <c r="B46" s="50"/>
      <c r="C46" s="50"/>
      <c r="D46" s="50"/>
      <c r="E46" s="53"/>
      <c r="F46" s="58" t="str">
        <f aca="false">IF(E46="","",INT((Listeler!$F$5-E46)/365.25))</f>
        <v/>
      </c>
      <c r="G46" s="58" t="str">
        <f aca="false">IF(E46="","",IF(F46&lt;1,0,IF(F46&lt;5,Listeler!$F$8,IF(F46&lt;15,Listeler!$F$9,Listeler!$F$10))))</f>
        <v/>
      </c>
      <c r="H46" s="50"/>
      <c r="I46" s="58" t="str">
        <f aca="false">IF(A46="","",SUMIFS('İzin Kayıtları'!$H:$H,'İzin Kayıtları'!$B:$B,A46,'İzin Kayıtları'!$E:$E,"Yıllık izin",'İzin Kayıtları'!$I:$I,"Onaylandı",'İzin Kayıtları'!$K:$K,Listeler!$F$6))</f>
        <v/>
      </c>
      <c r="J46" s="54" t="str">
        <f aca="false">IF(A46="","",G46+H46-I46)</f>
        <v/>
      </c>
    </row>
    <row r="47" customFormat="false" ht="15" hidden="false" customHeight="false" outlineLevel="0" collapsed="false">
      <c r="A47" s="50"/>
      <c r="B47" s="50"/>
      <c r="C47" s="50"/>
      <c r="D47" s="50"/>
      <c r="E47" s="53"/>
      <c r="F47" s="58" t="str">
        <f aca="false">IF(E47="","",INT((Listeler!$F$5-E47)/365.25))</f>
        <v/>
      </c>
      <c r="G47" s="58" t="str">
        <f aca="false">IF(E47="","",IF(F47&lt;1,0,IF(F47&lt;5,Listeler!$F$8,IF(F47&lt;15,Listeler!$F$9,Listeler!$F$10))))</f>
        <v/>
      </c>
      <c r="H47" s="50"/>
      <c r="I47" s="58" t="str">
        <f aca="false">IF(A47="","",SUMIFS('İzin Kayıtları'!$H:$H,'İzin Kayıtları'!$B:$B,A47,'İzin Kayıtları'!$E:$E,"Yıllık izin",'İzin Kayıtları'!$I:$I,"Onaylandı",'İzin Kayıtları'!$K:$K,Listeler!$F$6))</f>
        <v/>
      </c>
      <c r="J47" s="54" t="str">
        <f aca="false">IF(A47="","",G47+H47-I47)</f>
        <v/>
      </c>
    </row>
    <row r="48" customFormat="false" ht="15" hidden="false" customHeight="false" outlineLevel="0" collapsed="false">
      <c r="A48" s="50"/>
      <c r="B48" s="50"/>
      <c r="C48" s="50"/>
      <c r="D48" s="50"/>
      <c r="E48" s="53"/>
      <c r="F48" s="58" t="str">
        <f aca="false">IF(E48="","",INT((Listeler!$F$5-E48)/365.25))</f>
        <v/>
      </c>
      <c r="G48" s="58" t="str">
        <f aca="false">IF(E48="","",IF(F48&lt;1,0,IF(F48&lt;5,Listeler!$F$8,IF(F48&lt;15,Listeler!$F$9,Listeler!$F$10))))</f>
        <v/>
      </c>
      <c r="H48" s="50"/>
      <c r="I48" s="58" t="str">
        <f aca="false">IF(A48="","",SUMIFS('İzin Kayıtları'!$H:$H,'İzin Kayıtları'!$B:$B,A48,'İzin Kayıtları'!$E:$E,"Yıllık izin",'İzin Kayıtları'!$I:$I,"Onaylandı",'İzin Kayıtları'!$K:$K,Listeler!$F$6))</f>
        <v/>
      </c>
      <c r="J48" s="54" t="str">
        <f aca="false">IF(A48="","",G48+H48-I48)</f>
        <v/>
      </c>
    </row>
    <row r="49" customFormat="false" ht="15" hidden="false" customHeight="false" outlineLevel="0" collapsed="false">
      <c r="A49" s="50"/>
      <c r="B49" s="50"/>
      <c r="C49" s="50"/>
      <c r="D49" s="50"/>
      <c r="E49" s="53"/>
      <c r="F49" s="58" t="str">
        <f aca="false">IF(E49="","",INT((Listeler!$F$5-E49)/365.25))</f>
        <v/>
      </c>
      <c r="G49" s="58" t="str">
        <f aca="false">IF(E49="","",IF(F49&lt;1,0,IF(F49&lt;5,Listeler!$F$8,IF(F49&lt;15,Listeler!$F$9,Listeler!$F$10))))</f>
        <v/>
      </c>
      <c r="H49" s="50"/>
      <c r="I49" s="58" t="str">
        <f aca="false">IF(A49="","",SUMIFS('İzin Kayıtları'!$H:$H,'İzin Kayıtları'!$B:$B,A49,'İzin Kayıtları'!$E:$E,"Yıllık izin",'İzin Kayıtları'!$I:$I,"Onaylandı",'İzin Kayıtları'!$K:$K,Listeler!$F$6))</f>
        <v/>
      </c>
      <c r="J49" s="54" t="str">
        <f aca="false">IF(A49="","",G49+H49-I49)</f>
        <v/>
      </c>
    </row>
    <row r="50" customFormat="false" ht="15" hidden="false" customHeight="false" outlineLevel="0" collapsed="false">
      <c r="A50" s="50"/>
      <c r="B50" s="50"/>
      <c r="C50" s="50"/>
      <c r="D50" s="50"/>
      <c r="E50" s="53"/>
      <c r="F50" s="58" t="str">
        <f aca="false">IF(E50="","",INT((Listeler!$F$5-E50)/365.25))</f>
        <v/>
      </c>
      <c r="G50" s="58" t="str">
        <f aca="false">IF(E50="","",IF(F50&lt;1,0,IF(F50&lt;5,Listeler!$F$8,IF(F50&lt;15,Listeler!$F$9,Listeler!$F$10))))</f>
        <v/>
      </c>
      <c r="H50" s="50"/>
      <c r="I50" s="58" t="str">
        <f aca="false">IF(A50="","",SUMIFS('İzin Kayıtları'!$H:$H,'İzin Kayıtları'!$B:$B,A50,'İzin Kayıtları'!$E:$E,"Yıllık izin",'İzin Kayıtları'!$I:$I,"Onaylandı",'İzin Kayıtları'!$K:$K,Listeler!$F$6))</f>
        <v/>
      </c>
      <c r="J50" s="54" t="str">
        <f aca="false">IF(A50="","",G50+H50-I50)</f>
        <v/>
      </c>
    </row>
    <row r="51" customFormat="false" ht="15" hidden="false" customHeight="false" outlineLevel="0" collapsed="false">
      <c r="A51" s="50"/>
      <c r="B51" s="50"/>
      <c r="C51" s="50"/>
      <c r="D51" s="50"/>
      <c r="E51" s="53"/>
      <c r="F51" s="58" t="str">
        <f aca="false">IF(E51="","",INT((Listeler!$F$5-E51)/365.25))</f>
        <v/>
      </c>
      <c r="G51" s="58" t="str">
        <f aca="false">IF(E51="","",IF(F51&lt;1,0,IF(F51&lt;5,Listeler!$F$8,IF(F51&lt;15,Listeler!$F$9,Listeler!$F$10))))</f>
        <v/>
      </c>
      <c r="H51" s="50"/>
      <c r="I51" s="58" t="str">
        <f aca="false">IF(A51="","",SUMIFS('İzin Kayıtları'!$H:$H,'İzin Kayıtları'!$B:$B,A51,'İzin Kayıtları'!$E:$E,"Yıllık izin",'İzin Kayıtları'!$I:$I,"Onaylandı",'İzin Kayıtları'!$K:$K,Listeler!$F$6))</f>
        <v/>
      </c>
      <c r="J51" s="54" t="str">
        <f aca="false">IF(A51="","",G51+H51-I51)</f>
        <v/>
      </c>
    </row>
    <row r="52" customFormat="false" ht="15" hidden="false" customHeight="false" outlineLevel="0" collapsed="false">
      <c r="A52" s="50"/>
      <c r="B52" s="50"/>
      <c r="C52" s="50"/>
      <c r="D52" s="50"/>
      <c r="E52" s="53"/>
      <c r="F52" s="58" t="str">
        <f aca="false">IF(E52="","",INT((Listeler!$F$5-E52)/365.25))</f>
        <v/>
      </c>
      <c r="G52" s="58" t="str">
        <f aca="false">IF(E52="","",IF(F52&lt;1,0,IF(F52&lt;5,Listeler!$F$8,IF(F52&lt;15,Listeler!$F$9,Listeler!$F$10))))</f>
        <v/>
      </c>
      <c r="H52" s="50"/>
      <c r="I52" s="58" t="str">
        <f aca="false">IF(A52="","",SUMIFS('İzin Kayıtları'!$H:$H,'İzin Kayıtları'!$B:$B,A52,'İzin Kayıtları'!$E:$E,"Yıllık izin",'İzin Kayıtları'!$I:$I,"Onaylandı",'İzin Kayıtları'!$K:$K,Listeler!$F$6))</f>
        <v/>
      </c>
      <c r="J52" s="54" t="str">
        <f aca="false">IF(A52="","",G52+H52-I52)</f>
        <v/>
      </c>
    </row>
    <row r="53" customFormat="false" ht="15" hidden="false" customHeight="false" outlineLevel="0" collapsed="false">
      <c r="A53" s="50"/>
      <c r="B53" s="50"/>
      <c r="C53" s="50"/>
      <c r="D53" s="50"/>
      <c r="E53" s="53"/>
      <c r="F53" s="58" t="str">
        <f aca="false">IF(E53="","",INT((Listeler!$F$5-E53)/365.25))</f>
        <v/>
      </c>
      <c r="G53" s="58" t="str">
        <f aca="false">IF(E53="","",IF(F53&lt;1,0,IF(F53&lt;5,Listeler!$F$8,IF(F53&lt;15,Listeler!$F$9,Listeler!$F$10))))</f>
        <v/>
      </c>
      <c r="H53" s="50"/>
      <c r="I53" s="58" t="str">
        <f aca="false">IF(A53="","",SUMIFS('İzin Kayıtları'!$H:$H,'İzin Kayıtları'!$B:$B,A53,'İzin Kayıtları'!$E:$E,"Yıllık izin",'İzin Kayıtları'!$I:$I,"Onaylandı",'İzin Kayıtları'!$K:$K,Listeler!$F$6))</f>
        <v/>
      </c>
      <c r="J53" s="54" t="str">
        <f aca="false">IF(A53="","",G53+H53-I53)</f>
        <v/>
      </c>
    </row>
    <row r="54" customFormat="false" ht="15" hidden="false" customHeight="false" outlineLevel="0" collapsed="false">
      <c r="A54" s="50"/>
      <c r="B54" s="50"/>
      <c r="C54" s="50"/>
      <c r="D54" s="50"/>
      <c r="E54" s="53"/>
      <c r="F54" s="58" t="str">
        <f aca="false">IF(E54="","",INT((Listeler!$F$5-E54)/365.25))</f>
        <v/>
      </c>
      <c r="G54" s="58" t="str">
        <f aca="false">IF(E54="","",IF(F54&lt;1,0,IF(F54&lt;5,Listeler!$F$8,IF(F54&lt;15,Listeler!$F$9,Listeler!$F$10))))</f>
        <v/>
      </c>
      <c r="H54" s="50"/>
      <c r="I54" s="58" t="str">
        <f aca="false">IF(A54="","",SUMIFS('İzin Kayıtları'!$H:$H,'İzin Kayıtları'!$B:$B,A54,'İzin Kayıtları'!$E:$E,"Yıllık izin",'İzin Kayıtları'!$I:$I,"Onaylandı",'İzin Kayıtları'!$K:$K,Listeler!$F$6))</f>
        <v/>
      </c>
      <c r="J54" s="54" t="str">
        <f aca="false">IF(A54="","",G54+H54-I54)</f>
        <v/>
      </c>
    </row>
    <row r="55" customFormat="false" ht="15" hidden="false" customHeight="false" outlineLevel="0" collapsed="false">
      <c r="A55" s="50"/>
      <c r="B55" s="50"/>
      <c r="C55" s="50"/>
      <c r="D55" s="50"/>
      <c r="E55" s="53"/>
      <c r="F55" s="58" t="str">
        <f aca="false">IF(E55="","",INT((Listeler!$F$5-E55)/365.25))</f>
        <v/>
      </c>
      <c r="G55" s="58" t="str">
        <f aca="false">IF(E55="","",IF(F55&lt;1,0,IF(F55&lt;5,Listeler!$F$8,IF(F55&lt;15,Listeler!$F$9,Listeler!$F$10))))</f>
        <v/>
      </c>
      <c r="H55" s="50"/>
      <c r="I55" s="58" t="str">
        <f aca="false">IF(A55="","",SUMIFS('İzin Kayıtları'!$H:$H,'İzin Kayıtları'!$B:$B,A55,'İzin Kayıtları'!$E:$E,"Yıllık izin",'İzin Kayıtları'!$I:$I,"Onaylandı",'İzin Kayıtları'!$K:$K,Listeler!$F$6))</f>
        <v/>
      </c>
      <c r="J55" s="54" t="str">
        <f aca="false">IF(A55="","",G55+H55-I55)</f>
        <v/>
      </c>
    </row>
    <row r="56" customFormat="false" ht="15" hidden="false" customHeight="false" outlineLevel="0" collapsed="false">
      <c r="A56" s="50"/>
      <c r="B56" s="50"/>
      <c r="C56" s="50"/>
      <c r="D56" s="50"/>
      <c r="E56" s="53"/>
      <c r="F56" s="58" t="str">
        <f aca="false">IF(E56="","",INT((Listeler!$F$5-E56)/365.25))</f>
        <v/>
      </c>
      <c r="G56" s="58" t="str">
        <f aca="false">IF(E56="","",IF(F56&lt;1,0,IF(F56&lt;5,Listeler!$F$8,IF(F56&lt;15,Listeler!$F$9,Listeler!$F$10))))</f>
        <v/>
      </c>
      <c r="H56" s="50"/>
      <c r="I56" s="58" t="str">
        <f aca="false">IF(A56="","",SUMIFS('İzin Kayıtları'!$H:$H,'İzin Kayıtları'!$B:$B,A56,'İzin Kayıtları'!$E:$E,"Yıllık izin",'İzin Kayıtları'!$I:$I,"Onaylandı",'İzin Kayıtları'!$K:$K,Listeler!$F$6))</f>
        <v/>
      </c>
      <c r="J56" s="54" t="str">
        <f aca="false">IF(A56="","",G56+H56-I56)</f>
        <v/>
      </c>
    </row>
    <row r="57" customFormat="false" ht="15" hidden="false" customHeight="false" outlineLevel="0" collapsed="false">
      <c r="A57" s="50"/>
      <c r="B57" s="50"/>
      <c r="C57" s="50"/>
      <c r="D57" s="50"/>
      <c r="E57" s="53"/>
      <c r="F57" s="58" t="str">
        <f aca="false">IF(E57="","",INT((Listeler!$F$5-E57)/365.25))</f>
        <v/>
      </c>
      <c r="G57" s="58" t="str">
        <f aca="false">IF(E57="","",IF(F57&lt;1,0,IF(F57&lt;5,Listeler!$F$8,IF(F57&lt;15,Listeler!$F$9,Listeler!$F$10))))</f>
        <v/>
      </c>
      <c r="H57" s="50"/>
      <c r="I57" s="58" t="str">
        <f aca="false">IF(A57="","",SUMIFS('İzin Kayıtları'!$H:$H,'İzin Kayıtları'!$B:$B,A57,'İzin Kayıtları'!$E:$E,"Yıllık izin",'İzin Kayıtları'!$I:$I,"Onaylandı",'İzin Kayıtları'!$K:$K,Listeler!$F$6))</f>
        <v/>
      </c>
      <c r="J57" s="54" t="str">
        <f aca="false">IF(A57="","",G57+H57-I57)</f>
        <v/>
      </c>
    </row>
    <row r="58" customFormat="false" ht="15" hidden="false" customHeight="false" outlineLevel="0" collapsed="false">
      <c r="A58" s="50"/>
      <c r="B58" s="50"/>
      <c r="C58" s="50"/>
      <c r="D58" s="50"/>
      <c r="E58" s="53"/>
      <c r="F58" s="58" t="str">
        <f aca="false">IF(E58="","",INT((Listeler!$F$5-E58)/365.25))</f>
        <v/>
      </c>
      <c r="G58" s="58" t="str">
        <f aca="false">IF(E58="","",IF(F58&lt;1,0,IF(F58&lt;5,Listeler!$F$8,IF(F58&lt;15,Listeler!$F$9,Listeler!$F$10))))</f>
        <v/>
      </c>
      <c r="H58" s="50"/>
      <c r="I58" s="58" t="str">
        <f aca="false">IF(A58="","",SUMIFS('İzin Kayıtları'!$H:$H,'İzin Kayıtları'!$B:$B,A58,'İzin Kayıtları'!$E:$E,"Yıllık izin",'İzin Kayıtları'!$I:$I,"Onaylandı",'İzin Kayıtları'!$K:$K,Listeler!$F$6))</f>
        <v/>
      </c>
      <c r="J58" s="54" t="str">
        <f aca="false">IF(A58="","",G58+H58-I58)</f>
        <v/>
      </c>
    </row>
    <row r="59" customFormat="false" ht="15" hidden="false" customHeight="false" outlineLevel="0" collapsed="false">
      <c r="A59" s="50"/>
      <c r="B59" s="50"/>
      <c r="C59" s="50"/>
      <c r="D59" s="50"/>
      <c r="E59" s="53"/>
      <c r="F59" s="58" t="str">
        <f aca="false">IF(E59="","",INT((Listeler!$F$5-E59)/365.25))</f>
        <v/>
      </c>
      <c r="G59" s="58" t="str">
        <f aca="false">IF(E59="","",IF(F59&lt;1,0,IF(F59&lt;5,Listeler!$F$8,IF(F59&lt;15,Listeler!$F$9,Listeler!$F$10))))</f>
        <v/>
      </c>
      <c r="H59" s="50"/>
      <c r="I59" s="58" t="str">
        <f aca="false">IF(A59="","",SUMIFS('İzin Kayıtları'!$H:$H,'İzin Kayıtları'!$B:$B,A59,'İzin Kayıtları'!$E:$E,"Yıllık izin",'İzin Kayıtları'!$I:$I,"Onaylandı",'İzin Kayıtları'!$K:$K,Listeler!$F$6))</f>
        <v/>
      </c>
      <c r="J59" s="54" t="str">
        <f aca="false">IF(A59="","",G59+H59-I59)</f>
        <v/>
      </c>
    </row>
    <row r="60" customFormat="false" ht="15" hidden="false" customHeight="false" outlineLevel="0" collapsed="false">
      <c r="A60" s="50"/>
      <c r="B60" s="50"/>
      <c r="C60" s="50"/>
      <c r="D60" s="50"/>
      <c r="E60" s="53"/>
      <c r="F60" s="58" t="str">
        <f aca="false">IF(E60="","",INT((Listeler!$F$5-E60)/365.25))</f>
        <v/>
      </c>
      <c r="G60" s="58" t="str">
        <f aca="false">IF(E60="","",IF(F60&lt;1,0,IF(F60&lt;5,Listeler!$F$8,IF(F60&lt;15,Listeler!$F$9,Listeler!$F$10))))</f>
        <v/>
      </c>
      <c r="H60" s="50"/>
      <c r="I60" s="58" t="str">
        <f aca="false">IF(A60="","",SUMIFS('İzin Kayıtları'!$H:$H,'İzin Kayıtları'!$B:$B,A60,'İzin Kayıtları'!$E:$E,"Yıllık izin",'İzin Kayıtları'!$I:$I,"Onaylandı",'İzin Kayıtları'!$K:$K,Listeler!$F$6))</f>
        <v/>
      </c>
      <c r="J60" s="54" t="str">
        <f aca="false">IF(A60="","",G60+H60-I60)</f>
        <v/>
      </c>
    </row>
    <row r="61" customFormat="false" ht="15" hidden="false" customHeight="false" outlineLevel="0" collapsed="false">
      <c r="A61" s="50"/>
      <c r="B61" s="50"/>
      <c r="C61" s="50"/>
      <c r="D61" s="50"/>
      <c r="E61" s="53"/>
      <c r="F61" s="58" t="str">
        <f aca="false">IF(E61="","",INT((Listeler!$F$5-E61)/365.25))</f>
        <v/>
      </c>
      <c r="G61" s="58" t="str">
        <f aca="false">IF(E61="","",IF(F61&lt;1,0,IF(F61&lt;5,Listeler!$F$8,IF(F61&lt;15,Listeler!$F$9,Listeler!$F$10))))</f>
        <v/>
      </c>
      <c r="H61" s="50"/>
      <c r="I61" s="58" t="str">
        <f aca="false">IF(A61="","",SUMIFS('İzin Kayıtları'!$H:$H,'İzin Kayıtları'!$B:$B,A61,'İzin Kayıtları'!$E:$E,"Yıllık izin",'İzin Kayıtları'!$I:$I,"Onaylandı",'İzin Kayıtları'!$K:$K,Listeler!$F$6))</f>
        <v/>
      </c>
      <c r="J61" s="54" t="str">
        <f aca="false">IF(A61="","",G61+H61-I61)</f>
        <v/>
      </c>
    </row>
    <row r="62" customFormat="false" ht="15" hidden="false" customHeight="false" outlineLevel="0" collapsed="false">
      <c r="A62" s="50"/>
      <c r="B62" s="50"/>
      <c r="C62" s="50"/>
      <c r="D62" s="50"/>
      <c r="E62" s="53"/>
      <c r="F62" s="58" t="str">
        <f aca="false">IF(E62="","",INT((Listeler!$F$5-E62)/365.25))</f>
        <v/>
      </c>
      <c r="G62" s="58" t="str">
        <f aca="false">IF(E62="","",IF(F62&lt;1,0,IF(F62&lt;5,Listeler!$F$8,IF(F62&lt;15,Listeler!$F$9,Listeler!$F$10))))</f>
        <v/>
      </c>
      <c r="H62" s="50"/>
      <c r="I62" s="58" t="str">
        <f aca="false">IF(A62="","",SUMIFS('İzin Kayıtları'!$H:$H,'İzin Kayıtları'!$B:$B,A62,'İzin Kayıtları'!$E:$E,"Yıllık izin",'İzin Kayıtları'!$I:$I,"Onaylandı",'İzin Kayıtları'!$K:$K,Listeler!$F$6))</f>
        <v/>
      </c>
      <c r="J62" s="54" t="str">
        <f aca="false">IF(A62="","",G62+H62-I62)</f>
        <v/>
      </c>
    </row>
    <row r="63" customFormat="false" ht="15" hidden="false" customHeight="false" outlineLevel="0" collapsed="false">
      <c r="A63" s="50"/>
      <c r="B63" s="50"/>
      <c r="C63" s="50"/>
      <c r="D63" s="50"/>
      <c r="E63" s="53"/>
      <c r="F63" s="58" t="str">
        <f aca="false">IF(E63="","",INT((Listeler!$F$5-E63)/365.25))</f>
        <v/>
      </c>
      <c r="G63" s="58" t="str">
        <f aca="false">IF(E63="","",IF(F63&lt;1,0,IF(F63&lt;5,Listeler!$F$8,IF(F63&lt;15,Listeler!$F$9,Listeler!$F$10))))</f>
        <v/>
      </c>
      <c r="H63" s="50"/>
      <c r="I63" s="58" t="str">
        <f aca="false">IF(A63="","",SUMIFS('İzin Kayıtları'!$H:$H,'İzin Kayıtları'!$B:$B,A63,'İzin Kayıtları'!$E:$E,"Yıllık izin",'İzin Kayıtları'!$I:$I,"Onaylandı",'İzin Kayıtları'!$K:$K,Listeler!$F$6))</f>
        <v/>
      </c>
      <c r="J63" s="54" t="str">
        <f aca="false">IF(A63="","",G63+H63-I63)</f>
        <v/>
      </c>
    </row>
    <row r="64" customFormat="false" ht="15" hidden="false" customHeight="false" outlineLevel="0" collapsed="false">
      <c r="A64" s="50"/>
      <c r="B64" s="50"/>
      <c r="C64" s="50"/>
      <c r="D64" s="50"/>
      <c r="E64" s="53"/>
      <c r="F64" s="58" t="str">
        <f aca="false">IF(E64="","",INT((Listeler!$F$5-E64)/365.25))</f>
        <v/>
      </c>
      <c r="G64" s="58" t="str">
        <f aca="false">IF(E64="","",IF(F64&lt;1,0,IF(F64&lt;5,Listeler!$F$8,IF(F64&lt;15,Listeler!$F$9,Listeler!$F$10))))</f>
        <v/>
      </c>
      <c r="H64" s="50"/>
      <c r="I64" s="58" t="str">
        <f aca="false">IF(A64="","",SUMIFS('İzin Kayıtları'!$H:$H,'İzin Kayıtları'!$B:$B,A64,'İzin Kayıtları'!$E:$E,"Yıllık izin",'İzin Kayıtları'!$I:$I,"Onaylandı",'İzin Kayıtları'!$K:$K,Listeler!$F$6))</f>
        <v/>
      </c>
      <c r="J64" s="54" t="str">
        <f aca="false">IF(A64="","",G64+H64-I64)</f>
        <v/>
      </c>
    </row>
    <row r="65" customFormat="false" ht="15" hidden="false" customHeight="false" outlineLevel="0" collapsed="false">
      <c r="A65" s="50"/>
      <c r="B65" s="50"/>
      <c r="C65" s="50"/>
      <c r="D65" s="50"/>
      <c r="E65" s="53"/>
      <c r="F65" s="58" t="str">
        <f aca="false">IF(E65="","",INT((Listeler!$F$5-E65)/365.25))</f>
        <v/>
      </c>
      <c r="G65" s="58" t="str">
        <f aca="false">IF(E65="","",IF(F65&lt;1,0,IF(F65&lt;5,Listeler!$F$8,IF(F65&lt;15,Listeler!$F$9,Listeler!$F$10))))</f>
        <v/>
      </c>
      <c r="H65" s="50"/>
      <c r="I65" s="58" t="str">
        <f aca="false">IF(A65="","",SUMIFS('İzin Kayıtları'!$H:$H,'İzin Kayıtları'!$B:$B,A65,'İzin Kayıtları'!$E:$E,"Yıllık izin",'İzin Kayıtları'!$I:$I,"Onaylandı",'İzin Kayıtları'!$K:$K,Listeler!$F$6))</f>
        <v/>
      </c>
      <c r="J65" s="54" t="str">
        <f aca="false">IF(A65="","",G65+H65-I65)</f>
        <v/>
      </c>
    </row>
    <row r="66" customFormat="false" ht="15" hidden="false" customHeight="false" outlineLevel="0" collapsed="false">
      <c r="A66" s="50"/>
      <c r="B66" s="50"/>
      <c r="C66" s="50"/>
      <c r="D66" s="50"/>
      <c r="E66" s="53"/>
      <c r="F66" s="58" t="str">
        <f aca="false">IF(E66="","",INT((Listeler!$F$5-E66)/365.25))</f>
        <v/>
      </c>
      <c r="G66" s="58" t="str">
        <f aca="false">IF(E66="","",IF(F66&lt;1,0,IF(F66&lt;5,Listeler!$F$8,IF(F66&lt;15,Listeler!$F$9,Listeler!$F$10))))</f>
        <v/>
      </c>
      <c r="H66" s="50"/>
      <c r="I66" s="58" t="str">
        <f aca="false">IF(A66="","",SUMIFS('İzin Kayıtları'!$H:$H,'İzin Kayıtları'!$B:$B,A66,'İzin Kayıtları'!$E:$E,"Yıllık izin",'İzin Kayıtları'!$I:$I,"Onaylandı",'İzin Kayıtları'!$K:$K,Listeler!$F$6))</f>
        <v/>
      </c>
      <c r="J66" s="54" t="str">
        <f aca="false">IF(A66="","",G66+H66-I66)</f>
        <v/>
      </c>
    </row>
    <row r="67" customFormat="false" ht="15" hidden="false" customHeight="false" outlineLevel="0" collapsed="false">
      <c r="A67" s="50"/>
      <c r="B67" s="50"/>
      <c r="C67" s="50"/>
      <c r="D67" s="50"/>
      <c r="E67" s="53"/>
      <c r="F67" s="58" t="str">
        <f aca="false">IF(E67="","",INT((Listeler!$F$5-E67)/365.25))</f>
        <v/>
      </c>
      <c r="G67" s="58" t="str">
        <f aca="false">IF(E67="","",IF(F67&lt;1,0,IF(F67&lt;5,Listeler!$F$8,IF(F67&lt;15,Listeler!$F$9,Listeler!$F$10))))</f>
        <v/>
      </c>
      <c r="H67" s="50"/>
      <c r="I67" s="58" t="str">
        <f aca="false">IF(A67="","",SUMIFS('İzin Kayıtları'!$H:$H,'İzin Kayıtları'!$B:$B,A67,'İzin Kayıtları'!$E:$E,"Yıllık izin",'İzin Kayıtları'!$I:$I,"Onaylandı",'İzin Kayıtları'!$K:$K,Listeler!$F$6))</f>
        <v/>
      </c>
      <c r="J67" s="54" t="str">
        <f aca="false">IF(A67="","",G67+H67-I67)</f>
        <v/>
      </c>
    </row>
    <row r="68" customFormat="false" ht="15" hidden="false" customHeight="false" outlineLevel="0" collapsed="false">
      <c r="A68" s="50"/>
      <c r="B68" s="50"/>
      <c r="C68" s="50"/>
      <c r="D68" s="50"/>
      <c r="E68" s="53"/>
      <c r="F68" s="58" t="str">
        <f aca="false">IF(E68="","",INT((Listeler!$F$5-E68)/365.25))</f>
        <v/>
      </c>
      <c r="G68" s="58" t="str">
        <f aca="false">IF(E68="","",IF(F68&lt;1,0,IF(F68&lt;5,Listeler!$F$8,IF(F68&lt;15,Listeler!$F$9,Listeler!$F$10))))</f>
        <v/>
      </c>
      <c r="H68" s="50"/>
      <c r="I68" s="58" t="str">
        <f aca="false">IF(A68="","",SUMIFS('İzin Kayıtları'!$H:$H,'İzin Kayıtları'!$B:$B,A68,'İzin Kayıtları'!$E:$E,"Yıllık izin",'İzin Kayıtları'!$I:$I,"Onaylandı",'İzin Kayıtları'!$K:$K,Listeler!$F$6))</f>
        <v/>
      </c>
      <c r="J68" s="54" t="str">
        <f aca="false">IF(A68="","",G68+H68-I68)</f>
        <v/>
      </c>
    </row>
    <row r="69" customFormat="false" ht="15" hidden="false" customHeight="false" outlineLevel="0" collapsed="false">
      <c r="A69" s="50"/>
      <c r="B69" s="50"/>
      <c r="C69" s="50"/>
      <c r="D69" s="50"/>
      <c r="E69" s="53"/>
      <c r="F69" s="58" t="str">
        <f aca="false">IF(E69="","",INT((Listeler!$F$5-E69)/365.25))</f>
        <v/>
      </c>
      <c r="G69" s="58" t="str">
        <f aca="false">IF(E69="","",IF(F69&lt;1,0,IF(F69&lt;5,Listeler!$F$8,IF(F69&lt;15,Listeler!$F$9,Listeler!$F$10))))</f>
        <v/>
      </c>
      <c r="H69" s="50"/>
      <c r="I69" s="58" t="str">
        <f aca="false">IF(A69="","",SUMIFS('İzin Kayıtları'!$H:$H,'İzin Kayıtları'!$B:$B,A69,'İzin Kayıtları'!$E:$E,"Yıllık izin",'İzin Kayıtları'!$I:$I,"Onaylandı",'İzin Kayıtları'!$K:$K,Listeler!$F$6))</f>
        <v/>
      </c>
      <c r="J69" s="54" t="str">
        <f aca="false">IF(A69="","",G69+H69-I69)</f>
        <v/>
      </c>
    </row>
    <row r="70" customFormat="false" ht="15" hidden="false" customHeight="false" outlineLevel="0" collapsed="false">
      <c r="A70" s="50"/>
      <c r="B70" s="50"/>
      <c r="C70" s="50"/>
      <c r="D70" s="50"/>
      <c r="E70" s="53"/>
      <c r="F70" s="58" t="str">
        <f aca="false">IF(E70="","",INT((Listeler!$F$5-E70)/365.25))</f>
        <v/>
      </c>
      <c r="G70" s="58" t="str">
        <f aca="false">IF(E70="","",IF(F70&lt;1,0,IF(F70&lt;5,Listeler!$F$8,IF(F70&lt;15,Listeler!$F$9,Listeler!$F$10))))</f>
        <v/>
      </c>
      <c r="H70" s="50"/>
      <c r="I70" s="58" t="str">
        <f aca="false">IF(A70="","",SUMIFS('İzin Kayıtları'!$H:$H,'İzin Kayıtları'!$B:$B,A70,'İzin Kayıtları'!$E:$E,"Yıllık izin",'İzin Kayıtları'!$I:$I,"Onaylandı",'İzin Kayıtları'!$K:$K,Listeler!$F$6))</f>
        <v/>
      </c>
      <c r="J70" s="54" t="str">
        <f aca="false">IF(A70="","",G70+H70-I70)</f>
        <v/>
      </c>
    </row>
    <row r="71" customFormat="false" ht="15" hidden="false" customHeight="false" outlineLevel="0" collapsed="false">
      <c r="A71" s="50"/>
      <c r="B71" s="50"/>
      <c r="C71" s="50"/>
      <c r="D71" s="50"/>
      <c r="E71" s="53"/>
      <c r="F71" s="58" t="str">
        <f aca="false">IF(E71="","",INT((Listeler!$F$5-E71)/365.25))</f>
        <v/>
      </c>
      <c r="G71" s="58" t="str">
        <f aca="false">IF(E71="","",IF(F71&lt;1,0,IF(F71&lt;5,Listeler!$F$8,IF(F71&lt;15,Listeler!$F$9,Listeler!$F$10))))</f>
        <v/>
      </c>
      <c r="H71" s="50"/>
      <c r="I71" s="58" t="str">
        <f aca="false">IF(A71="","",SUMIFS('İzin Kayıtları'!$H:$H,'İzin Kayıtları'!$B:$B,A71,'İzin Kayıtları'!$E:$E,"Yıllık izin",'İzin Kayıtları'!$I:$I,"Onaylandı",'İzin Kayıtları'!$K:$K,Listeler!$F$6))</f>
        <v/>
      </c>
      <c r="J71" s="54" t="str">
        <f aca="false">IF(A71="","",G71+H71-I71)</f>
        <v/>
      </c>
    </row>
    <row r="72" customFormat="false" ht="15" hidden="false" customHeight="false" outlineLevel="0" collapsed="false">
      <c r="A72" s="50"/>
      <c r="B72" s="50"/>
      <c r="C72" s="50"/>
      <c r="D72" s="50"/>
      <c r="E72" s="53"/>
      <c r="F72" s="58" t="str">
        <f aca="false">IF(E72="","",INT((Listeler!$F$5-E72)/365.25))</f>
        <v/>
      </c>
      <c r="G72" s="58" t="str">
        <f aca="false">IF(E72="","",IF(F72&lt;1,0,IF(F72&lt;5,Listeler!$F$8,IF(F72&lt;15,Listeler!$F$9,Listeler!$F$10))))</f>
        <v/>
      </c>
      <c r="H72" s="50"/>
      <c r="I72" s="58" t="str">
        <f aca="false">IF(A72="","",SUMIFS('İzin Kayıtları'!$H:$H,'İzin Kayıtları'!$B:$B,A72,'İzin Kayıtları'!$E:$E,"Yıllık izin",'İzin Kayıtları'!$I:$I,"Onaylandı",'İzin Kayıtları'!$K:$K,Listeler!$F$6))</f>
        <v/>
      </c>
      <c r="J72" s="54" t="str">
        <f aca="false">IF(A72="","",G72+H72-I72)</f>
        <v/>
      </c>
    </row>
    <row r="73" customFormat="false" ht="15" hidden="false" customHeight="false" outlineLevel="0" collapsed="false">
      <c r="A73" s="50"/>
      <c r="B73" s="50"/>
      <c r="C73" s="50"/>
      <c r="D73" s="50"/>
      <c r="E73" s="53"/>
      <c r="F73" s="58" t="str">
        <f aca="false">IF(E73="","",INT((Listeler!$F$5-E73)/365.25))</f>
        <v/>
      </c>
      <c r="G73" s="58" t="str">
        <f aca="false">IF(E73="","",IF(F73&lt;1,0,IF(F73&lt;5,Listeler!$F$8,IF(F73&lt;15,Listeler!$F$9,Listeler!$F$10))))</f>
        <v/>
      </c>
      <c r="H73" s="50"/>
      <c r="I73" s="58" t="str">
        <f aca="false">IF(A73="","",SUMIFS('İzin Kayıtları'!$H:$H,'İzin Kayıtları'!$B:$B,A73,'İzin Kayıtları'!$E:$E,"Yıllık izin",'İzin Kayıtları'!$I:$I,"Onaylandı",'İzin Kayıtları'!$K:$K,Listeler!$F$6))</f>
        <v/>
      </c>
      <c r="J73" s="54" t="str">
        <f aca="false">IF(A73="","",G73+H73-I73)</f>
        <v/>
      </c>
    </row>
    <row r="74" customFormat="false" ht="15" hidden="false" customHeight="false" outlineLevel="0" collapsed="false">
      <c r="A74" s="50"/>
      <c r="B74" s="50"/>
      <c r="C74" s="50"/>
      <c r="D74" s="50"/>
      <c r="E74" s="53"/>
      <c r="F74" s="58" t="str">
        <f aca="false">IF(E74="","",INT((Listeler!$F$5-E74)/365.25))</f>
        <v/>
      </c>
      <c r="G74" s="58" t="str">
        <f aca="false">IF(E74="","",IF(F74&lt;1,0,IF(F74&lt;5,Listeler!$F$8,IF(F74&lt;15,Listeler!$F$9,Listeler!$F$10))))</f>
        <v/>
      </c>
      <c r="H74" s="50"/>
      <c r="I74" s="58" t="str">
        <f aca="false">IF(A74="","",SUMIFS('İzin Kayıtları'!$H:$H,'İzin Kayıtları'!$B:$B,A74,'İzin Kayıtları'!$E:$E,"Yıllık izin",'İzin Kayıtları'!$I:$I,"Onaylandı",'İzin Kayıtları'!$K:$K,Listeler!$F$6))</f>
        <v/>
      </c>
      <c r="J74" s="54" t="str">
        <f aca="false">IF(A74="","",G74+H74-I74)</f>
        <v/>
      </c>
    </row>
    <row r="75" customFormat="false" ht="15" hidden="false" customHeight="false" outlineLevel="0" collapsed="false">
      <c r="A75" s="50"/>
      <c r="B75" s="50"/>
      <c r="C75" s="50"/>
      <c r="D75" s="50"/>
      <c r="E75" s="53"/>
      <c r="F75" s="58" t="str">
        <f aca="false">IF(E75="","",INT((Listeler!$F$5-E75)/365.25))</f>
        <v/>
      </c>
      <c r="G75" s="58" t="str">
        <f aca="false">IF(E75="","",IF(F75&lt;1,0,IF(F75&lt;5,Listeler!$F$8,IF(F75&lt;15,Listeler!$F$9,Listeler!$F$10))))</f>
        <v/>
      </c>
      <c r="H75" s="50"/>
      <c r="I75" s="58" t="str">
        <f aca="false">IF(A75="","",SUMIFS('İzin Kayıtları'!$H:$H,'İzin Kayıtları'!$B:$B,A75,'İzin Kayıtları'!$E:$E,"Yıllık izin",'İzin Kayıtları'!$I:$I,"Onaylandı",'İzin Kayıtları'!$K:$K,Listeler!$F$6))</f>
        <v/>
      </c>
      <c r="J75" s="54" t="str">
        <f aca="false">IF(A75="","",G75+H75-I75)</f>
        <v/>
      </c>
    </row>
    <row r="76" customFormat="false" ht="15" hidden="false" customHeight="false" outlineLevel="0" collapsed="false">
      <c r="A76" s="50"/>
      <c r="B76" s="50"/>
      <c r="C76" s="50"/>
      <c r="D76" s="50"/>
      <c r="E76" s="53"/>
      <c r="F76" s="58" t="str">
        <f aca="false">IF(E76="","",INT((Listeler!$F$5-E76)/365.25))</f>
        <v/>
      </c>
      <c r="G76" s="58" t="str">
        <f aca="false">IF(E76="","",IF(F76&lt;1,0,IF(F76&lt;5,Listeler!$F$8,IF(F76&lt;15,Listeler!$F$9,Listeler!$F$10))))</f>
        <v/>
      </c>
      <c r="H76" s="50"/>
      <c r="I76" s="58" t="str">
        <f aca="false">IF(A76="","",SUMIFS('İzin Kayıtları'!$H:$H,'İzin Kayıtları'!$B:$B,A76,'İzin Kayıtları'!$E:$E,"Yıllık izin",'İzin Kayıtları'!$I:$I,"Onaylandı",'İzin Kayıtları'!$K:$K,Listeler!$F$6))</f>
        <v/>
      </c>
      <c r="J76" s="54" t="str">
        <f aca="false">IF(A76="","",G76+H76-I76)</f>
        <v/>
      </c>
    </row>
    <row r="77" customFormat="false" ht="15" hidden="false" customHeight="false" outlineLevel="0" collapsed="false">
      <c r="A77" s="50"/>
      <c r="B77" s="50"/>
      <c r="C77" s="50"/>
      <c r="D77" s="50"/>
      <c r="E77" s="53"/>
      <c r="F77" s="58" t="str">
        <f aca="false">IF(E77="","",INT((Listeler!$F$5-E77)/365.25))</f>
        <v/>
      </c>
      <c r="G77" s="58" t="str">
        <f aca="false">IF(E77="","",IF(F77&lt;1,0,IF(F77&lt;5,Listeler!$F$8,IF(F77&lt;15,Listeler!$F$9,Listeler!$F$10))))</f>
        <v/>
      </c>
      <c r="H77" s="50"/>
      <c r="I77" s="58" t="str">
        <f aca="false">IF(A77="","",SUMIFS('İzin Kayıtları'!$H:$H,'İzin Kayıtları'!$B:$B,A77,'İzin Kayıtları'!$E:$E,"Yıllık izin",'İzin Kayıtları'!$I:$I,"Onaylandı",'İzin Kayıtları'!$K:$K,Listeler!$F$6))</f>
        <v/>
      </c>
      <c r="J77" s="54" t="str">
        <f aca="false">IF(A77="","",G77+H77-I77)</f>
        <v/>
      </c>
    </row>
    <row r="78" customFormat="false" ht="15" hidden="false" customHeight="false" outlineLevel="0" collapsed="false">
      <c r="A78" s="50"/>
      <c r="B78" s="50"/>
      <c r="C78" s="50"/>
      <c r="D78" s="50"/>
      <c r="E78" s="53"/>
      <c r="F78" s="58" t="str">
        <f aca="false">IF(E78="","",INT((Listeler!$F$5-E78)/365.25))</f>
        <v/>
      </c>
      <c r="G78" s="58" t="str">
        <f aca="false">IF(E78="","",IF(F78&lt;1,0,IF(F78&lt;5,Listeler!$F$8,IF(F78&lt;15,Listeler!$F$9,Listeler!$F$10))))</f>
        <v/>
      </c>
      <c r="H78" s="50"/>
      <c r="I78" s="58" t="str">
        <f aca="false">IF(A78="","",SUMIFS('İzin Kayıtları'!$H:$H,'İzin Kayıtları'!$B:$B,A78,'İzin Kayıtları'!$E:$E,"Yıllık izin",'İzin Kayıtları'!$I:$I,"Onaylandı",'İzin Kayıtları'!$K:$K,Listeler!$F$6))</f>
        <v/>
      </c>
      <c r="J78" s="54" t="str">
        <f aca="false">IF(A78="","",G78+H78-I78)</f>
        <v/>
      </c>
    </row>
    <row r="79" customFormat="false" ht="15" hidden="false" customHeight="false" outlineLevel="0" collapsed="false">
      <c r="A79" s="50"/>
      <c r="B79" s="50"/>
      <c r="C79" s="50"/>
      <c r="D79" s="50"/>
      <c r="E79" s="53"/>
      <c r="F79" s="58" t="str">
        <f aca="false">IF(E79="","",INT((Listeler!$F$5-E79)/365.25))</f>
        <v/>
      </c>
      <c r="G79" s="58" t="str">
        <f aca="false">IF(E79="","",IF(F79&lt;1,0,IF(F79&lt;5,Listeler!$F$8,IF(F79&lt;15,Listeler!$F$9,Listeler!$F$10))))</f>
        <v/>
      </c>
      <c r="H79" s="50"/>
      <c r="I79" s="58" t="str">
        <f aca="false">IF(A79="","",SUMIFS('İzin Kayıtları'!$H:$H,'İzin Kayıtları'!$B:$B,A79,'İzin Kayıtları'!$E:$E,"Yıllık izin",'İzin Kayıtları'!$I:$I,"Onaylandı",'İzin Kayıtları'!$K:$K,Listeler!$F$6))</f>
        <v/>
      </c>
      <c r="J79" s="54" t="str">
        <f aca="false">IF(A79="","",G79+H79-I79)</f>
        <v/>
      </c>
    </row>
    <row r="80" customFormat="false" ht="15" hidden="false" customHeight="false" outlineLevel="0" collapsed="false">
      <c r="A80" s="50"/>
      <c r="B80" s="50"/>
      <c r="C80" s="50"/>
      <c r="D80" s="50"/>
      <c r="E80" s="53"/>
      <c r="F80" s="58" t="str">
        <f aca="false">IF(E80="","",INT((Listeler!$F$5-E80)/365.25))</f>
        <v/>
      </c>
      <c r="G80" s="58" t="str">
        <f aca="false">IF(E80="","",IF(F80&lt;1,0,IF(F80&lt;5,Listeler!$F$8,IF(F80&lt;15,Listeler!$F$9,Listeler!$F$10))))</f>
        <v/>
      </c>
      <c r="H80" s="50"/>
      <c r="I80" s="58" t="str">
        <f aca="false">IF(A80="","",SUMIFS('İzin Kayıtları'!$H:$H,'İzin Kayıtları'!$B:$B,A80,'İzin Kayıtları'!$E:$E,"Yıllık izin",'İzin Kayıtları'!$I:$I,"Onaylandı",'İzin Kayıtları'!$K:$K,Listeler!$F$6))</f>
        <v/>
      </c>
      <c r="J80" s="54" t="str">
        <f aca="false">IF(A80="","",G80+H80-I80)</f>
        <v/>
      </c>
    </row>
    <row r="81" customFormat="false" ht="15" hidden="false" customHeight="false" outlineLevel="0" collapsed="false">
      <c r="A81" s="50"/>
      <c r="B81" s="50"/>
      <c r="C81" s="50"/>
      <c r="D81" s="50"/>
      <c r="E81" s="53"/>
      <c r="F81" s="58" t="str">
        <f aca="false">IF(E81="","",INT((Listeler!$F$5-E81)/365.25))</f>
        <v/>
      </c>
      <c r="G81" s="58" t="str">
        <f aca="false">IF(E81="","",IF(F81&lt;1,0,IF(F81&lt;5,Listeler!$F$8,IF(F81&lt;15,Listeler!$F$9,Listeler!$F$10))))</f>
        <v/>
      </c>
      <c r="H81" s="50"/>
      <c r="I81" s="58" t="str">
        <f aca="false">IF(A81="","",SUMIFS('İzin Kayıtları'!$H:$H,'İzin Kayıtları'!$B:$B,A81,'İzin Kayıtları'!$E:$E,"Yıllık izin",'İzin Kayıtları'!$I:$I,"Onaylandı",'İzin Kayıtları'!$K:$K,Listeler!$F$6))</f>
        <v/>
      </c>
      <c r="J81" s="54" t="str">
        <f aca="false">IF(A81="","",G81+H81-I81)</f>
        <v/>
      </c>
    </row>
    <row r="82" customFormat="false" ht="15" hidden="false" customHeight="false" outlineLevel="0" collapsed="false">
      <c r="A82" s="50"/>
      <c r="B82" s="50"/>
      <c r="C82" s="50"/>
      <c r="D82" s="50"/>
      <c r="E82" s="53"/>
      <c r="F82" s="58" t="str">
        <f aca="false">IF(E82="","",INT((Listeler!$F$5-E82)/365.25))</f>
        <v/>
      </c>
      <c r="G82" s="58" t="str">
        <f aca="false">IF(E82="","",IF(F82&lt;1,0,IF(F82&lt;5,Listeler!$F$8,IF(F82&lt;15,Listeler!$F$9,Listeler!$F$10))))</f>
        <v/>
      </c>
      <c r="H82" s="50"/>
      <c r="I82" s="58" t="str">
        <f aca="false">IF(A82="","",SUMIFS('İzin Kayıtları'!$H:$H,'İzin Kayıtları'!$B:$B,A82,'İzin Kayıtları'!$E:$E,"Yıllık izin",'İzin Kayıtları'!$I:$I,"Onaylandı",'İzin Kayıtları'!$K:$K,Listeler!$F$6))</f>
        <v/>
      </c>
      <c r="J82" s="54" t="str">
        <f aca="false">IF(A82="","",G82+H82-I82)</f>
        <v/>
      </c>
    </row>
    <row r="83" customFormat="false" ht="15" hidden="false" customHeight="false" outlineLevel="0" collapsed="false">
      <c r="A83" s="50"/>
      <c r="B83" s="50"/>
      <c r="C83" s="50"/>
      <c r="D83" s="50"/>
      <c r="E83" s="53"/>
      <c r="F83" s="58" t="str">
        <f aca="false">IF(E83="","",INT((Listeler!$F$5-E83)/365.25))</f>
        <v/>
      </c>
      <c r="G83" s="58" t="str">
        <f aca="false">IF(E83="","",IF(F83&lt;1,0,IF(F83&lt;5,Listeler!$F$8,IF(F83&lt;15,Listeler!$F$9,Listeler!$F$10))))</f>
        <v/>
      </c>
      <c r="H83" s="50"/>
      <c r="I83" s="58" t="str">
        <f aca="false">IF(A83="","",SUMIFS('İzin Kayıtları'!$H:$H,'İzin Kayıtları'!$B:$B,A83,'İzin Kayıtları'!$E:$E,"Yıllık izin",'İzin Kayıtları'!$I:$I,"Onaylandı",'İzin Kayıtları'!$K:$K,Listeler!$F$6))</f>
        <v/>
      </c>
      <c r="J83" s="54" t="str">
        <f aca="false">IF(A83="","",G83+H83-I83)</f>
        <v/>
      </c>
    </row>
    <row r="84" customFormat="false" ht="15" hidden="false" customHeight="false" outlineLevel="0" collapsed="false">
      <c r="A84" s="50"/>
      <c r="B84" s="50"/>
      <c r="C84" s="50"/>
      <c r="D84" s="50"/>
      <c r="E84" s="53"/>
      <c r="F84" s="58" t="str">
        <f aca="false">IF(E84="","",INT((Listeler!$F$5-E84)/365.25))</f>
        <v/>
      </c>
      <c r="G84" s="58" t="str">
        <f aca="false">IF(E84="","",IF(F84&lt;1,0,IF(F84&lt;5,Listeler!$F$8,IF(F84&lt;15,Listeler!$F$9,Listeler!$F$10))))</f>
        <v/>
      </c>
      <c r="H84" s="50"/>
      <c r="I84" s="58" t="str">
        <f aca="false">IF(A84="","",SUMIFS('İzin Kayıtları'!$H:$H,'İzin Kayıtları'!$B:$B,A84,'İzin Kayıtları'!$E:$E,"Yıllık izin",'İzin Kayıtları'!$I:$I,"Onaylandı",'İzin Kayıtları'!$K:$K,Listeler!$F$6))</f>
        <v/>
      </c>
      <c r="J84" s="54" t="str">
        <f aca="false">IF(A84="","",G84+H84-I84)</f>
        <v/>
      </c>
    </row>
    <row r="85" customFormat="false" ht="15" hidden="false" customHeight="false" outlineLevel="0" collapsed="false">
      <c r="A85" s="50"/>
      <c r="B85" s="50"/>
      <c r="C85" s="50"/>
      <c r="D85" s="50"/>
      <c r="E85" s="53"/>
      <c r="F85" s="58" t="str">
        <f aca="false">IF(E85="","",INT((Listeler!$F$5-E85)/365.25))</f>
        <v/>
      </c>
      <c r="G85" s="58" t="str">
        <f aca="false">IF(E85="","",IF(F85&lt;1,0,IF(F85&lt;5,Listeler!$F$8,IF(F85&lt;15,Listeler!$F$9,Listeler!$F$10))))</f>
        <v/>
      </c>
      <c r="H85" s="50"/>
      <c r="I85" s="58" t="str">
        <f aca="false">IF(A85="","",SUMIFS('İzin Kayıtları'!$H:$H,'İzin Kayıtları'!$B:$B,A85,'İzin Kayıtları'!$E:$E,"Yıllık izin",'İzin Kayıtları'!$I:$I,"Onaylandı",'İzin Kayıtları'!$K:$K,Listeler!$F$6))</f>
        <v/>
      </c>
      <c r="J85" s="54" t="str">
        <f aca="false">IF(A85="","",G85+H85-I85)</f>
        <v/>
      </c>
    </row>
    <row r="87" customFormat="false" ht="15" hidden="false" customHeight="false" outlineLevel="0" collapsed="false">
      <c r="A87" s="55" t="s">
        <v>62</v>
      </c>
      <c r="B87" s="55"/>
      <c r="C87" s="55"/>
      <c r="D87" s="55"/>
      <c r="E87" s="55"/>
      <c r="F87" s="55"/>
      <c r="G87" s="55"/>
      <c r="H87" s="55"/>
      <c r="I87" s="55"/>
      <c r="J87" s="55"/>
    </row>
  </sheetData>
  <sheetProtection sheet="true" formatCells="false" formatColumns="false" formatRows="false" insertRows="false" deleteRows="false" sort="false" autoFilter="false"/>
  <mergeCells count="4">
    <mergeCell ref="A1:J1"/>
    <mergeCell ref="A2:J2"/>
    <mergeCell ref="J3:K3"/>
    <mergeCell ref="A87:J87"/>
  </mergeCells>
  <conditionalFormatting sqref="A6:J85">
    <cfRule type="expression" priority="2" aboveAverage="0" equalAverage="0" bottom="0" percent="0" rank="0" text="" dxfId="3">
      <formula>MOD(ROW(),2)=0</formula>
    </cfRule>
  </conditionalFormatting>
  <conditionalFormatting sqref="J6:J85">
    <cfRule type="dataBar" priority="3">
      <dataBar showValue="1" minLength="10" maxLength="90">
        <cfvo type="num" val="0"/>
        <cfvo type="max" val="0"/>
        <color rgb="FFC2410C"/>
      </dataBar>
      <extLst>
        <ext xmlns:x14="http://schemas.microsoft.com/office/spreadsheetml/2009/9/main" uri="{B025F937-C7B1-47D3-B67F-A62EFF666E3E}">
          <x14:id>{AD1E6C71-EDC5-4AB3-A8D6-B39033403758}</x14:id>
        </ext>
      </extLst>
    </cfRule>
    <cfRule type="expression" priority="4" aboveAverage="0" equalAverage="0" bottom="0" percent="0" rank="0" text="" dxfId="5">
      <formula>AND(J6&lt;&gt;"",J6&gt;=Listeler!$F$11)</formula>
    </cfRule>
    <cfRule type="expression" priority="5" aboveAverage="0" equalAverage="0" bottom="0" percent="0" rank="0" text="" dxfId="6">
      <formula>AND(J6&lt;&gt;"",J6&lt;0)</formula>
    </cfRule>
  </conditionalFormatting>
  <dataValidations count="1">
    <dataValidation allowBlank="true" errorStyle="stop" operator="between" showDropDown="false" showErrorMessage="false" showInputMessage="false" sqref="C6:C85" type="list">
      <formula1>Listeler!$A$5:$A$19</formula1>
      <formula2>0</formula2>
    </dataValidation>
  </dataValidations>
  <hyperlinks>
    <hyperlink ref="A3" location="'Dashboard'!A1" display="Dashboard"/>
    <hyperlink ref="B3" location="'İzin Kayıtları'!A1" display="·  İzin Kayıtları"/>
    <hyperlink ref="C3" location="'Personel'!A1" display="·  Personel"/>
    <hyperlink ref="D3" location="'Listeler'!A1" display="·  Listeler"/>
    <hyperlink ref="E3" location="'Nasıl kullanılır'!A1" display="·  Nasıl kullanılır"/>
  </hyperlink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&amp;K64748bTAKMOS · takmoserp.com&amp;C&amp;8 &amp;K64748bÖrnek veriler kurgusaldır&amp;R&amp;8 &amp;K64748bSayfa &amp;P / &amp;N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D1E6C71-EDC5-4AB3-A8D6-B39033403758}">
            <x14:dataBar minLength="10" maxLength="90" axisPosition="none" gradient="true">
              <x14:cfvo type="num">
                <xm:f>0</xm:f>
              </x14:cfvo>
              <x14:cfvo type="max"/>
              <x14:negativeFillColor rgb="FFC2410C"/>
              <x14:axisColor rgb="FF000000"/>
            </x14:dataBar>
          </x14:cfRule>
          <xm:sqref>J6:J85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8"/>
    <col collapsed="false" customWidth="true" hidden="false" outlineLevel="0" max="3" min="3" style="0" width="14"/>
    <col collapsed="false" customWidth="true" hidden="false" outlineLevel="0" max="5" min="5" style="0" width="26"/>
    <col collapsed="false" customWidth="true" hidden="false" outlineLevel="0" max="6" min="6" style="0" width="12"/>
  </cols>
  <sheetData>
    <row r="1" customFormat="false" ht="33.75" hidden="false" customHeight="true" outlineLevel="0" collapsed="false">
      <c r="A1" s="20" t="s">
        <v>155</v>
      </c>
      <c r="B1" s="20"/>
      <c r="C1" s="20"/>
      <c r="D1" s="20"/>
      <c r="E1" s="20"/>
      <c r="F1" s="20"/>
    </row>
    <row r="2" customFormat="false" ht="19.5" hidden="false" customHeight="true" outlineLevel="0" collapsed="false">
      <c r="A2" s="22" t="s">
        <v>156</v>
      </c>
      <c r="B2" s="22"/>
      <c r="C2" s="22"/>
      <c r="D2" s="22"/>
      <c r="E2" s="22"/>
      <c r="F2" s="22"/>
    </row>
    <row r="3" customFormat="false" ht="15" hidden="false" customHeight="false" outlineLevel="0" collapsed="false">
      <c r="A3" s="46" t="s">
        <v>31</v>
      </c>
      <c r="B3" s="46" t="s">
        <v>32</v>
      </c>
      <c r="C3" s="46" t="s">
        <v>33</v>
      </c>
      <c r="D3" s="47" t="s">
        <v>34</v>
      </c>
      <c r="E3" s="46" t="s">
        <v>35</v>
      </c>
    </row>
    <row r="4" customFormat="false" ht="15" hidden="false" customHeight="false" outlineLevel="0" collapsed="false">
      <c r="A4" s="39" t="s">
        <v>50</v>
      </c>
      <c r="B4" s="39" t="s">
        <v>59</v>
      </c>
      <c r="C4" s="39" t="s">
        <v>71</v>
      </c>
      <c r="E4" s="39" t="s">
        <v>157</v>
      </c>
      <c r="F4" s="39" t="s">
        <v>158</v>
      </c>
    </row>
    <row r="5" customFormat="false" ht="15" hidden="false" customHeight="false" outlineLevel="0" collapsed="false">
      <c r="A5" s="52" t="s">
        <v>113</v>
      </c>
      <c r="B5" s="52" t="s">
        <v>79</v>
      </c>
      <c r="C5" s="52" t="s">
        <v>77</v>
      </c>
      <c r="E5" s="59" t="s">
        <v>38</v>
      </c>
      <c r="F5" s="60" t="n">
        <f aca="true">TODAY()</f>
        <v>46323</v>
      </c>
    </row>
    <row r="6" customFormat="false" ht="15" hidden="false" customHeight="false" outlineLevel="0" collapsed="false">
      <c r="A6" s="52" t="s">
        <v>120</v>
      </c>
      <c r="B6" s="52" t="s">
        <v>76</v>
      </c>
      <c r="C6" s="52" t="s">
        <v>102</v>
      </c>
      <c r="E6" s="59" t="s">
        <v>73</v>
      </c>
      <c r="F6" s="54" t="n">
        <f aca="false">YEAR(F5)</f>
        <v>2026</v>
      </c>
    </row>
    <row r="7" customFormat="false" ht="15" hidden="false" customHeight="false" outlineLevel="0" collapsed="false">
      <c r="A7" s="52" t="s">
        <v>125</v>
      </c>
      <c r="B7" s="52" t="s">
        <v>90</v>
      </c>
      <c r="C7" s="52" t="s">
        <v>159</v>
      </c>
      <c r="E7" s="59" t="s">
        <v>160</v>
      </c>
      <c r="F7" s="60" t="n">
        <f aca="false">DATE(F6,1,1)</f>
        <v>46023</v>
      </c>
    </row>
    <row r="8" customFormat="false" ht="15" hidden="false" customHeight="false" outlineLevel="0" collapsed="false">
      <c r="A8" s="52" t="s">
        <v>130</v>
      </c>
      <c r="B8" s="52" t="s">
        <v>98</v>
      </c>
      <c r="E8" s="59" t="s">
        <v>161</v>
      </c>
      <c r="F8" s="61" t="n">
        <v>14</v>
      </c>
    </row>
    <row r="9" customFormat="false" ht="15" hidden="false" customHeight="false" outlineLevel="0" collapsed="false">
      <c r="A9" s="52" t="s">
        <v>134</v>
      </c>
      <c r="B9" s="52" t="s">
        <v>162</v>
      </c>
      <c r="E9" s="59" t="s">
        <v>163</v>
      </c>
      <c r="F9" s="61" t="n">
        <v>20</v>
      </c>
    </row>
    <row r="10" customFormat="false" ht="15" hidden="false" customHeight="false" outlineLevel="0" collapsed="false">
      <c r="A10" s="52" t="s">
        <v>138</v>
      </c>
      <c r="B10" s="52" t="s">
        <v>164</v>
      </c>
      <c r="E10" s="59" t="s">
        <v>165</v>
      </c>
      <c r="F10" s="61" t="n">
        <v>26</v>
      </c>
    </row>
    <row r="11" customFormat="false" ht="15" hidden="false" customHeight="false" outlineLevel="0" collapsed="false">
      <c r="A11" s="50"/>
      <c r="B11" s="50"/>
      <c r="E11" s="59" t="s">
        <v>166</v>
      </c>
      <c r="F11" s="61" t="n">
        <v>20</v>
      </c>
    </row>
    <row r="12" customFormat="false" ht="15" hidden="false" customHeight="false" outlineLevel="0" collapsed="false">
      <c r="A12" s="50"/>
      <c r="B12" s="50"/>
    </row>
    <row r="13" customFormat="false" ht="15" hidden="false" customHeight="false" outlineLevel="0" collapsed="false">
      <c r="A13" s="50"/>
      <c r="B13" s="50"/>
    </row>
    <row r="14" customFormat="false" ht="15" hidden="false" customHeight="false" outlineLevel="0" collapsed="false">
      <c r="A14" s="50"/>
      <c r="B14" s="50"/>
    </row>
    <row r="15" customFormat="false" ht="15" hidden="false" customHeight="false" outlineLevel="0" collapsed="false">
      <c r="A15" s="50"/>
      <c r="B15" s="50"/>
    </row>
    <row r="16" customFormat="false" ht="15" hidden="false" customHeight="false" outlineLevel="0" collapsed="false">
      <c r="A16" s="50"/>
      <c r="B16" s="50"/>
    </row>
    <row r="17" customFormat="false" ht="15" hidden="false" customHeight="false" outlineLevel="0" collapsed="false">
      <c r="A17" s="50"/>
      <c r="B17" s="50"/>
    </row>
    <row r="18" customFormat="false" ht="15" hidden="false" customHeight="false" outlineLevel="0" collapsed="false">
      <c r="A18" s="50"/>
      <c r="B18" s="50"/>
    </row>
    <row r="19" customFormat="false" ht="15" hidden="false" customHeight="false" outlineLevel="0" collapsed="false">
      <c r="A19" s="50"/>
      <c r="B19" s="50"/>
    </row>
    <row r="20" customFormat="false" ht="15" hidden="false" customHeight="false" outlineLevel="0" collapsed="false">
      <c r="A20" s="62" t="s">
        <v>37</v>
      </c>
    </row>
  </sheetData>
  <sheetProtection sheet="true" formatCells="false" formatColumns="false" formatRows="false" insertRows="false" deleteRows="false" sort="false" autoFilter="false"/>
  <mergeCells count="2">
    <mergeCell ref="A1:F1"/>
    <mergeCell ref="A2:F2"/>
  </mergeCells>
  <hyperlinks>
    <hyperlink ref="A3" location="'Dashboard'!A1" display="Dashboard"/>
    <hyperlink ref="B3" location="'İzin Kayıtları'!A1" display="·  İzin Kayıtları"/>
    <hyperlink ref="C3" location="'Personel'!A1" display="·  Personel"/>
    <hyperlink ref="D3" location="'Listeler'!A1" display="·  Listeler"/>
    <hyperlink ref="E3" location="'Nasıl kullanılır'!A1" display="·  Nasıl kullanılır"/>
  </hyperlink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&amp;K64748bTAKMOS · takmoserp.com&amp;C&amp;8 &amp;K64748bÖrnek veriler kurgusaldır&amp;R&amp;8 &amp;K64748bSayfa &amp;P / &amp;N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4748B"/>
    <pageSetUpPr fitToPage="true"/>
  </sheetPr>
  <dimension ref="A1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2"/>
  </cols>
  <sheetData>
    <row r="1" customFormat="false" ht="33.75" hidden="false" customHeight="true" outlineLevel="0" collapsed="false">
      <c r="A1" s="20" t="s">
        <v>167</v>
      </c>
      <c r="B1" s="20"/>
    </row>
    <row r="2" customFormat="false" ht="19.5" hidden="false" customHeight="true" outlineLevel="0" collapsed="false">
      <c r="A2" s="22" t="s">
        <v>168</v>
      </c>
      <c r="B2" s="22"/>
    </row>
    <row r="4" customFormat="false" ht="21.75" hidden="false" customHeight="true" outlineLevel="0" collapsed="false">
      <c r="B4" s="63" t="s">
        <v>169</v>
      </c>
    </row>
    <row r="5" customFormat="false" ht="30" hidden="false" customHeight="true" outlineLevel="0" collapsed="false">
      <c r="B5" s="64" t="s">
        <v>170</v>
      </c>
    </row>
    <row r="6" customFormat="false" ht="21.75" hidden="false" customHeight="true" outlineLevel="0" collapsed="false">
      <c r="B6" s="63" t="s">
        <v>171</v>
      </c>
    </row>
    <row r="7" customFormat="false" ht="30" hidden="false" customHeight="true" outlineLevel="0" collapsed="false">
      <c r="B7" s="64" t="s">
        <v>172</v>
      </c>
    </row>
    <row r="8" customFormat="false" ht="30" hidden="false" customHeight="true" outlineLevel="0" collapsed="false">
      <c r="B8" s="64" t="s">
        <v>173</v>
      </c>
    </row>
    <row r="9" customFormat="false" ht="45" hidden="false" customHeight="true" outlineLevel="0" collapsed="false">
      <c r="B9" s="64" t="s">
        <v>174</v>
      </c>
    </row>
    <row r="10" customFormat="false" ht="30" hidden="false" customHeight="true" outlineLevel="0" collapsed="false">
      <c r="B10" s="64" t="s">
        <v>175</v>
      </c>
    </row>
    <row r="11" customFormat="false" ht="30" hidden="false" customHeight="true" outlineLevel="0" collapsed="false">
      <c r="B11" s="64" t="s">
        <v>176</v>
      </c>
    </row>
    <row r="12" customFormat="false" ht="21.75" hidden="false" customHeight="true" outlineLevel="0" collapsed="false">
      <c r="B12" s="63" t="s">
        <v>177</v>
      </c>
    </row>
    <row r="13" customFormat="false" ht="30" hidden="false" customHeight="true" outlineLevel="0" collapsed="false">
      <c r="B13" s="64" t="s">
        <v>178</v>
      </c>
    </row>
    <row r="15" customFormat="false" ht="15" hidden="false" customHeight="false" outlineLevel="0" collapsed="false">
      <c r="B15" s="63" t="s">
        <v>179</v>
      </c>
    </row>
    <row r="16" customFormat="false" ht="15" hidden="false" customHeight="false" outlineLevel="0" collapsed="false">
      <c r="A16" s="11"/>
      <c r="B16" s="65" t="s">
        <v>180</v>
      </c>
    </row>
    <row r="17" customFormat="false" ht="15" hidden="false" customHeight="false" outlineLevel="0" collapsed="false">
      <c r="A17" s="14"/>
      <c r="B17" s="65" t="s">
        <v>181</v>
      </c>
    </row>
    <row r="18" customFormat="false" ht="15" hidden="false" customHeight="false" outlineLevel="0" collapsed="false">
      <c r="A18" s="15"/>
      <c r="B18" s="65" t="s">
        <v>182</v>
      </c>
    </row>
    <row r="19" customFormat="false" ht="15" hidden="false" customHeight="false" outlineLevel="0" collapsed="false">
      <c r="A19" s="16"/>
      <c r="B19" s="65" t="s">
        <v>183</v>
      </c>
    </row>
    <row r="20" customFormat="false" ht="15" hidden="false" customHeight="false" outlineLevel="0" collapsed="false">
      <c r="A20" s="17"/>
      <c r="B20" s="65" t="s">
        <v>25</v>
      </c>
    </row>
    <row r="22" customFormat="false" ht="30" hidden="false" customHeight="true" outlineLevel="0" collapsed="false">
      <c r="B22" s="66" t="s">
        <v>184</v>
      </c>
    </row>
  </sheetData>
  <mergeCells count="2">
    <mergeCell ref="A1:B1"/>
    <mergeCell ref="A2:B2"/>
  </mergeCells>
  <printOptions headings="false" gridLines="false" gridLinesSet="true" horizontalCentered="false" verticalCentered="false"/>
  <pageMargins left="0.4" right="0.4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3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74</v>
      </c>
      <c r="B1" s="0" t="s">
        <v>185</v>
      </c>
      <c r="C1" s="0" t="s">
        <v>186</v>
      </c>
      <c r="D1" s="0" t="s">
        <v>187</v>
      </c>
      <c r="F1" s="0" t="s">
        <v>50</v>
      </c>
      <c r="G1" s="0" t="s">
        <v>39</v>
      </c>
      <c r="H1" s="0" t="s">
        <v>188</v>
      </c>
      <c r="I1" s="0" t="s">
        <v>111</v>
      </c>
      <c r="J1" s="0" t="s">
        <v>40</v>
      </c>
      <c r="L1" s="0" t="s">
        <v>59</v>
      </c>
      <c r="M1" s="0" t="s">
        <v>70</v>
      </c>
      <c r="N1" s="0" t="s">
        <v>189</v>
      </c>
      <c r="P1" s="0" t="s">
        <v>190</v>
      </c>
      <c r="Q1" s="0" t="s">
        <v>191</v>
      </c>
      <c r="R1" s="0" t="s">
        <v>58</v>
      </c>
      <c r="S1" s="0" t="s">
        <v>53</v>
      </c>
      <c r="X1" s="0" t="s">
        <v>192</v>
      </c>
      <c r="Y1" s="0" t="s">
        <v>51</v>
      </c>
      <c r="Z1" s="0" t="s">
        <v>193</v>
      </c>
      <c r="AA1" s="0" t="s">
        <v>111</v>
      </c>
    </row>
    <row r="2" customFormat="false" ht="15" hidden="false" customHeight="false" outlineLevel="0" collapsed="false">
      <c r="A2" s="0" t="s">
        <v>194</v>
      </c>
      <c r="B2" s="0" t="n">
        <f aca="false">SUMIFS('İzin Kayıtları'!$H:$H,'İzin Kayıtları'!$K:$K,Listeler!$F$6,'İzin Kayıtları'!$L:$L,1,'İzin Kayıtları'!$I:$I,"Onaylandı",'İzin Kayıtları'!$E:$E,"Yıllık izin",'İzin Kayıtları'!$D:$D,IF(Dashboard!$O$4="Tümü","*",Dashboard!$O$4))</f>
        <v>2</v>
      </c>
      <c r="C2" s="0" t="n">
        <f aca="false">SUMIFS('İzin Kayıtları'!$H:$H,'İzin Kayıtları'!$K:$K,Listeler!$F$6,'İzin Kayıtları'!$L:$L,1,'İzin Kayıtları'!$I:$I,"Onaylandı",'İzin Kayıtları'!$E:$E,"Rapor",'İzin Kayıtları'!$D:$D,IF(Dashboard!$O$4="Tümü","*",Dashboard!$O$4))</f>
        <v>4</v>
      </c>
      <c r="D2" s="0" t="n">
        <f aca="false">SUMIFS('İzin Kayıtları'!$H:$H,'İzin Kayıtları'!$K:$K,Listeler!$F$6,'İzin Kayıtları'!$L:$L,1,'İzin Kayıtları'!$I:$I,"Onaylandı",'İzin Kayıtları'!$D:$D,IF(Dashboard!$O$4="Tümü","*",Dashboard!$O$4))-B2-C2</f>
        <v>0</v>
      </c>
      <c r="F2" s="0" t="s">
        <v>113</v>
      </c>
      <c r="G2" s="0" t="n">
        <f aca="false">COUNTIF(Personel!$C:$C,F2)</f>
        <v>7</v>
      </c>
      <c r="H2" s="0" t="n">
        <f aca="false">SUMIF(Personel!$C:$C,F2,Personel!$I:$I)</f>
        <v>44</v>
      </c>
      <c r="I2" s="0" t="n">
        <f aca="false">SUMIF(Personel!$C:$C,F2,Personel!$J:$J)</f>
        <v>82</v>
      </c>
      <c r="J2" s="0" t="n">
        <f aca="false">COUNTIFS('İzin Kayıtları'!$D:$D,F2,'İzin Kayıtları'!$I:$I,"Onaylandı",'İzin Kayıtları'!$F:$F,"&lt;="&amp;Listeler!$F$5,'İzin Kayıtları'!$G:$G,"&gt;="&amp;Listeler!$F$5)</f>
        <v>0</v>
      </c>
      <c r="L2" s="0" t="s">
        <v>79</v>
      </c>
      <c r="M2" s="0" t="n">
        <f aca="false">SUMIFS('İzin Kayıtları'!$H:$H,'İzin Kayıtları'!$E:$E,L2,'İzin Kayıtları'!$I:$I,"Onaylandı",'İzin Kayıtları'!$K:$K,Listeler!$F$6,'İzin Kayıtları'!$D:$D,IF(Dashboard!$O$4="Tümü","*",Dashboard!$O$4))</f>
        <v>113</v>
      </c>
      <c r="N2" s="0" t="n">
        <f aca="false">COUNTIFS('İzin Kayıtları'!$E:$E,L2,'İzin Kayıtları'!$K:$K,Listeler!$F$6)</f>
        <v>36</v>
      </c>
      <c r="P2" s="0" t="n">
        <f aca="false">IF(OR(Personel!A6="",NOT(OR(Dashboard!$O$4="Tümü",Personel!C6=Dashboard!$O$4))),-1000,Personel!J6+ROW()/100000)</f>
        <v>10.00002</v>
      </c>
      <c r="Q2" s="0" t="n">
        <v>1</v>
      </c>
      <c r="R2" s="0" t="str">
        <f aca="false">IF(T2&lt;0,"",INDEX(Personel!$B$6:$B$85,MATCH(T2,$P$2:$P$81,0)))</f>
        <v>Emre Şahin</v>
      </c>
      <c r="S2" s="0" t="n">
        <f aca="false">IF(T2&lt;0,0,ROUND(T2,0))</f>
        <v>29</v>
      </c>
      <c r="T2" s="0" t="n">
        <f aca="false">LARGE($P$2:$P$81,1)</f>
        <v>29.00007</v>
      </c>
      <c r="V2" s="0" t="n">
        <f aca="false">0+(AND('İzin Kayıtları'!$I6="Onaylandı",'İzin Kayıtları'!$F6&lt;&gt;"",'İzin Kayıtları'!$F6&lt;=Listeler!$F$5,'İzin Kayıtları'!$G6&gt;=Listeler!$F$5,OR(Dashboard!$O$4="Tümü",'İzin Kayıtları'!$D6=Dashboard!$O$4))*1)</f>
        <v>0</v>
      </c>
      <c r="X2" s="0" t="s">
        <v>195</v>
      </c>
      <c r="Y2" s="0" t="n">
        <f aca="false">COUNTIFS(Personel!$F$6:$F$85,"&gt;="&amp;-1,Personel!$F$6:$F$85,"&lt;"&amp;1,Personel!$C$6:$C$85,IF(Dashboard!$O$4="Tümü","*",Dashboard!$O$4))</f>
        <v>1</v>
      </c>
      <c r="Z2" s="0" t="n">
        <f aca="false">SUMIFS(Personel!$G$6:$G$85,Personel!$F$6:$F$85,"&gt;="&amp;-1,Personel!$F$6:$F$85,"&lt;"&amp;1,Personel!$C$6:$C$85,IF(Dashboard!$O$4="Tümü","*",Dashboard!$O$4))</f>
        <v>0</v>
      </c>
      <c r="AA2" s="0" t="n">
        <f aca="false">SUMIFS(Personel!$J$6:$J$85,Personel!$F$6:$F$85,"&gt;="&amp;-1,Personel!$F$6:$F$85,"&lt;"&amp;1,Personel!$C$6:$C$85,IF(Dashboard!$O$4="Tümü","*",Dashboard!$O$4))</f>
        <v>3</v>
      </c>
    </row>
    <row r="3" customFormat="false" ht="15" hidden="false" customHeight="false" outlineLevel="0" collapsed="false">
      <c r="A3" s="0" t="s">
        <v>196</v>
      </c>
      <c r="B3" s="0" t="n">
        <f aca="false">SUMIFS('İzin Kayıtları'!$H:$H,'İzin Kayıtları'!$K:$K,Listeler!$F$6,'İzin Kayıtları'!$L:$L,2,'İzin Kayıtları'!$I:$I,"Onaylandı",'İzin Kayıtları'!$E:$E,"Yıllık izin",'İzin Kayıtları'!$D:$D,IF(Dashboard!$O$4="Tümü","*",Dashboard!$O$4))</f>
        <v>10</v>
      </c>
      <c r="C3" s="0" t="n">
        <f aca="false">SUMIFS('İzin Kayıtları'!$H:$H,'İzin Kayıtları'!$K:$K,Listeler!$F$6,'İzin Kayıtları'!$L:$L,2,'İzin Kayıtları'!$I:$I,"Onaylandı",'İzin Kayıtları'!$E:$E,"Rapor",'İzin Kayıtları'!$D:$D,IF(Dashboard!$O$4="Tümü","*",Dashboard!$O$4))</f>
        <v>6</v>
      </c>
      <c r="D3" s="0" t="n">
        <f aca="false">SUMIFS('İzin Kayıtları'!$H:$H,'İzin Kayıtları'!$K:$K,Listeler!$F$6,'İzin Kayıtları'!$L:$L,2,'İzin Kayıtları'!$I:$I,"Onaylandı",'İzin Kayıtları'!$D:$D,IF(Dashboard!$O$4="Tümü","*",Dashboard!$O$4))-B3-C3</f>
        <v>0</v>
      </c>
      <c r="F3" s="0" t="s">
        <v>120</v>
      </c>
      <c r="G3" s="0" t="n">
        <f aca="false">COUNTIF(Personel!$C:$C,F3)</f>
        <v>9</v>
      </c>
      <c r="H3" s="0" t="n">
        <f aca="false">SUMIF(Personel!$C:$C,F3,Personel!$I:$I)</f>
        <v>34</v>
      </c>
      <c r="I3" s="0" t="n">
        <f aca="false">SUMIF(Personel!$C:$C,F3,Personel!$J:$J)</f>
        <v>164</v>
      </c>
      <c r="J3" s="0" t="n">
        <f aca="false">COUNTIFS('İzin Kayıtları'!$D:$D,F3,'İzin Kayıtları'!$I:$I,"Onaylandı",'İzin Kayıtları'!$F:$F,"&lt;="&amp;Listeler!$F$5,'İzin Kayıtları'!$G:$G,"&gt;="&amp;Listeler!$F$5)</f>
        <v>1</v>
      </c>
      <c r="L3" s="0" t="s">
        <v>76</v>
      </c>
      <c r="M3" s="0" t="n">
        <f aca="false">SUMIFS('İzin Kayıtları'!$H:$H,'İzin Kayıtları'!$E:$E,L3,'İzin Kayıtları'!$I:$I,"Onaylandı",'İzin Kayıtları'!$K:$K,Listeler!$F$6,'İzin Kayıtları'!$D:$D,IF(Dashboard!$O$4="Tümü","*",Dashboard!$O$4))</f>
        <v>32</v>
      </c>
      <c r="N3" s="0" t="n">
        <f aca="false">COUNTIFS('İzin Kayıtları'!$E:$E,L3,'İzin Kayıtları'!$K:$K,Listeler!$F$6)</f>
        <v>17</v>
      </c>
      <c r="P3" s="0" t="n">
        <f aca="false">IF(OR(Personel!A7="",NOT(OR(Dashboard!$O$4="Tümü",Personel!C7=Dashboard!$O$4))),-1000,Personel!J7+ROW()/100000)</f>
        <v>18.00003</v>
      </c>
      <c r="Q3" s="0" t="n">
        <v>2</v>
      </c>
      <c r="R3" s="0" t="str">
        <f aca="false">IF(T3&lt;0,"",INDEX(Personel!$B$6:$B$85,MATCH(T3,$P$2:$P$81,0)))</f>
        <v>Burak Çelik</v>
      </c>
      <c r="S3" s="0" t="n">
        <f aca="false">IF(T3&lt;0,0,ROUND(T3,0))</f>
        <v>26</v>
      </c>
      <c r="T3" s="0" t="n">
        <f aca="false">LARGE($P$2:$P$81,2)</f>
        <v>26.00005</v>
      </c>
      <c r="V3" s="0" t="n">
        <f aca="false">V2+(AND('İzin Kayıtları'!$I7="Onaylandı",'İzin Kayıtları'!$F7&lt;&gt;"",'İzin Kayıtları'!$F7&lt;=Listeler!$F$5,'İzin Kayıtları'!$G7&gt;=Listeler!$F$5,OR(Dashboard!$O$4="Tümü",'İzin Kayıtları'!$D7=Dashboard!$O$4))*1)</f>
        <v>0</v>
      </c>
      <c r="X3" s="0" t="s">
        <v>197</v>
      </c>
      <c r="Y3" s="0" t="n">
        <f aca="false">COUNTIFS(Personel!$F$6:$F$85,"&gt;="&amp;1,Personel!$F$6:$F$85,"&lt;"&amp;5,Personel!$C$6:$C$85,IF(Dashboard!$O$4="Tümü","*",Dashboard!$O$4))</f>
        <v>9</v>
      </c>
      <c r="Z3" s="0" t="n">
        <f aca="false">SUMIFS(Personel!$G$6:$G$85,Personel!$F$6:$F$85,"&gt;="&amp;1,Personel!$F$6:$F$85,"&lt;"&amp;5,Personel!$C$6:$C$85,IF(Dashboard!$O$4="Tümü","*",Dashboard!$O$4))</f>
        <v>126</v>
      </c>
      <c r="AA3" s="0" t="n">
        <f aca="false">SUMIFS(Personel!$J$6:$J$85,Personel!$F$6:$F$85,"&gt;="&amp;1,Personel!$F$6:$F$85,"&lt;"&amp;5,Personel!$C$6:$C$85,IF(Dashboard!$O$4="Tümü","*",Dashboard!$O$4))</f>
        <v>100</v>
      </c>
    </row>
    <row r="4" customFormat="false" ht="15" hidden="false" customHeight="false" outlineLevel="0" collapsed="false">
      <c r="A4" s="0" t="s">
        <v>198</v>
      </c>
      <c r="B4" s="0" t="n">
        <f aca="false">SUMIFS('İzin Kayıtları'!$H:$H,'İzin Kayıtları'!$K:$K,Listeler!$F$6,'İzin Kayıtları'!$L:$L,3,'İzin Kayıtları'!$I:$I,"Onaylandı",'İzin Kayıtları'!$E:$E,"Yıllık izin",'İzin Kayıtları'!$D:$D,IF(Dashboard!$O$4="Tümü","*",Dashboard!$O$4))</f>
        <v>4</v>
      </c>
      <c r="C4" s="0" t="n">
        <f aca="false">SUMIFS('İzin Kayıtları'!$H:$H,'İzin Kayıtları'!$K:$K,Listeler!$F$6,'İzin Kayıtları'!$L:$L,3,'İzin Kayıtları'!$I:$I,"Onaylandı",'İzin Kayıtları'!$E:$E,"Rapor",'İzin Kayıtları'!$D:$D,IF(Dashboard!$O$4="Tümü","*",Dashboard!$O$4))</f>
        <v>3</v>
      </c>
      <c r="D4" s="0" t="n">
        <f aca="false">SUMIFS('İzin Kayıtları'!$H:$H,'İzin Kayıtları'!$K:$K,Listeler!$F$6,'İzin Kayıtları'!$L:$L,3,'İzin Kayıtları'!$I:$I,"Onaylandı",'İzin Kayıtları'!$D:$D,IF(Dashboard!$O$4="Tümü","*",Dashboard!$O$4))-B4-C4</f>
        <v>0</v>
      </c>
      <c r="F4" s="0" t="s">
        <v>125</v>
      </c>
      <c r="G4" s="0" t="n">
        <f aca="false">COUNTIF(Personel!$C:$C,F4)</f>
        <v>3</v>
      </c>
      <c r="H4" s="0" t="n">
        <f aca="false">SUMIF(Personel!$C:$C,F4,Personel!$I:$I)</f>
        <v>12</v>
      </c>
      <c r="I4" s="0" t="n">
        <f aca="false">SUMIF(Personel!$C:$C,F4,Personel!$J:$J)</f>
        <v>53</v>
      </c>
      <c r="J4" s="0" t="n">
        <f aca="false">COUNTIFS('İzin Kayıtları'!$D:$D,F4,'İzin Kayıtları'!$I:$I,"Onaylandı",'İzin Kayıtları'!$F:$F,"&lt;="&amp;Listeler!$F$5,'İzin Kayıtları'!$G:$G,"&gt;="&amp;Listeler!$F$5)</f>
        <v>0</v>
      </c>
      <c r="L4" s="0" t="s">
        <v>90</v>
      </c>
      <c r="M4" s="0" t="n">
        <f aca="false">SUMIFS('İzin Kayıtları'!$H:$H,'İzin Kayıtları'!$E:$E,L4,'İzin Kayıtları'!$I:$I,"Onaylandı",'İzin Kayıtları'!$K:$K,Listeler!$F$6,'İzin Kayıtları'!$D:$D,IF(Dashboard!$O$4="Tümü","*",Dashboard!$O$4))</f>
        <v>8</v>
      </c>
      <c r="N4" s="0" t="n">
        <f aca="false">COUNTIFS('İzin Kayıtları'!$E:$E,L4,'İzin Kayıtları'!$K:$K,Listeler!$F$6)</f>
        <v>5</v>
      </c>
      <c r="P4" s="0" t="n">
        <f aca="false">IF(OR(Personel!A8="",NOT(OR(Dashboard!$O$4="Tümü",Personel!C8=Dashboard!$O$4))),-1000,Personel!J8+ROW()/100000)</f>
        <v>6.00004</v>
      </c>
      <c r="Q4" s="0" t="n">
        <v>3</v>
      </c>
      <c r="R4" s="0" t="str">
        <f aca="false">IF(T4&lt;0,"",INDEX(Personel!$B$6:$B$85,MATCH(T4,$P$2:$P$81,0)))</f>
        <v>Murat Doğan</v>
      </c>
      <c r="S4" s="0" t="n">
        <f aca="false">IF(T4&lt;0,0,ROUND(T4,0))</f>
        <v>25</v>
      </c>
      <c r="T4" s="0" t="n">
        <f aca="false">LARGE($P$2:$P$81,3)</f>
        <v>25.00011</v>
      </c>
      <c r="V4" s="0" t="n">
        <f aca="false">V3+(AND('İzin Kayıtları'!$I8="Onaylandı",'İzin Kayıtları'!$F8&lt;&gt;"",'İzin Kayıtları'!$F8&lt;=Listeler!$F$5,'İzin Kayıtları'!$G8&gt;=Listeler!$F$5,OR(Dashboard!$O$4="Tümü",'İzin Kayıtları'!$D8=Dashboard!$O$4))*1)</f>
        <v>0</v>
      </c>
      <c r="X4" s="0" t="s">
        <v>199</v>
      </c>
      <c r="Y4" s="0" t="n">
        <f aca="false">COUNTIFS(Personel!$F$6:$F$85,"&gt;="&amp;5,Personel!$F$6:$F$85,"&lt;"&amp;15,Personel!$C$6:$C$85,IF(Dashboard!$O$4="Tümü","*",Dashboard!$O$4))</f>
        <v>13</v>
      </c>
      <c r="Z4" s="0" t="n">
        <f aca="false">SUMIFS(Personel!$G$6:$G$85,Personel!$F$6:$F$85,"&gt;="&amp;5,Personel!$F$6:$F$85,"&lt;"&amp;15,Personel!$C$6:$C$85,IF(Dashboard!$O$4="Tümü","*",Dashboard!$O$4))</f>
        <v>260</v>
      </c>
      <c r="AA4" s="0" t="n">
        <f aca="false">SUMIFS(Personel!$J$6:$J$85,Personel!$F$6:$F$85,"&gt;="&amp;5,Personel!$F$6:$F$85,"&lt;"&amp;15,Personel!$C$6:$C$85,IF(Dashboard!$O$4="Tümü","*",Dashboard!$O$4))</f>
        <v>232</v>
      </c>
    </row>
    <row r="5" customFormat="false" ht="15" hidden="false" customHeight="false" outlineLevel="0" collapsed="false">
      <c r="A5" s="0" t="s">
        <v>200</v>
      </c>
      <c r="B5" s="0" t="n">
        <f aca="false">SUMIFS('İzin Kayıtları'!$H:$H,'İzin Kayıtları'!$K:$K,Listeler!$F$6,'İzin Kayıtları'!$L:$L,4,'İzin Kayıtları'!$I:$I,"Onaylandı",'İzin Kayıtları'!$E:$E,"Yıllık izin",'İzin Kayıtları'!$D:$D,IF(Dashboard!$O$4="Tümü","*",Dashboard!$O$4))</f>
        <v>12</v>
      </c>
      <c r="C5" s="0" t="n">
        <f aca="false">SUMIFS('İzin Kayıtları'!$H:$H,'İzin Kayıtları'!$K:$K,Listeler!$F$6,'İzin Kayıtları'!$L:$L,4,'İzin Kayıtları'!$I:$I,"Onaylandı",'İzin Kayıtları'!$E:$E,"Rapor",'İzin Kayıtları'!$D:$D,IF(Dashboard!$O$4="Tümü","*",Dashboard!$O$4))</f>
        <v>4</v>
      </c>
      <c r="D5" s="0" t="n">
        <f aca="false">SUMIFS('İzin Kayıtları'!$H:$H,'İzin Kayıtları'!$K:$K,Listeler!$F$6,'İzin Kayıtları'!$L:$L,4,'İzin Kayıtları'!$I:$I,"Onaylandı",'İzin Kayıtları'!$D:$D,IF(Dashboard!$O$4="Tümü","*",Dashboard!$O$4))-B5-C5</f>
        <v>2</v>
      </c>
      <c r="F5" s="0" t="s">
        <v>130</v>
      </c>
      <c r="G5" s="0" t="n">
        <f aca="false">COUNTIF(Personel!$C:$C,F5)</f>
        <v>2</v>
      </c>
      <c r="H5" s="0" t="n">
        <f aca="false">SUMIF(Personel!$C:$C,F5,Personel!$I:$I)</f>
        <v>10</v>
      </c>
      <c r="I5" s="0" t="n">
        <f aca="false">SUMIF(Personel!$C:$C,F5,Personel!$J:$J)</f>
        <v>37</v>
      </c>
      <c r="J5" s="0" t="n">
        <f aca="false">COUNTIFS('İzin Kayıtları'!$D:$D,F5,'İzin Kayıtları'!$I:$I,"Onaylandı",'İzin Kayıtları'!$F:$F,"&lt;="&amp;Listeler!$F$5,'İzin Kayıtları'!$G:$G,"&gt;="&amp;Listeler!$F$5)</f>
        <v>0</v>
      </c>
      <c r="L5" s="0" t="s">
        <v>98</v>
      </c>
      <c r="M5" s="0" t="n">
        <f aca="false">SUMIFS('İzin Kayıtları'!$H:$H,'İzin Kayıtları'!$E:$E,L5,'İzin Kayıtları'!$I:$I,"Onaylandı",'İzin Kayıtları'!$K:$K,Listeler!$F$6,'İzin Kayıtları'!$D:$D,IF(Dashboard!$O$4="Tümü","*",Dashboard!$O$4))</f>
        <v>7</v>
      </c>
      <c r="N5" s="0" t="n">
        <f aca="false">COUNTIFS('İzin Kayıtları'!$E:$E,L5,'İzin Kayıtları'!$K:$K,Listeler!$F$6)</f>
        <v>3</v>
      </c>
      <c r="P5" s="0" t="n">
        <f aca="false">IF(OR(Personel!A9="",NOT(OR(Dashboard!$O$4="Tümü",Personel!C9=Dashboard!$O$4))),-1000,Personel!J9+ROW()/100000)</f>
        <v>26.00005</v>
      </c>
      <c r="Q5" s="0" t="n">
        <v>4</v>
      </c>
      <c r="R5" s="0" t="str">
        <f aca="false">IF(T5&lt;0,"",INDEX(Personel!$B$6:$B$85,MATCH(T5,$P$2:$P$81,0)))</f>
        <v>Selin Öztürk</v>
      </c>
      <c r="S5" s="0" t="n">
        <f aca="false">IF(T5&lt;0,0,ROUND(T5,0))</f>
        <v>25</v>
      </c>
      <c r="T5" s="0" t="n">
        <f aca="false">LARGE($P$2:$P$81,4)</f>
        <v>25.0001</v>
      </c>
      <c r="V5" s="0" t="n">
        <f aca="false">V4+(AND('İzin Kayıtları'!$I9="Onaylandı",'İzin Kayıtları'!$F9&lt;&gt;"",'İzin Kayıtları'!$F9&lt;=Listeler!$F$5,'İzin Kayıtları'!$G9&gt;=Listeler!$F$5,OR(Dashboard!$O$4="Tümü",'İzin Kayıtları'!$D9=Dashboard!$O$4))*1)</f>
        <v>0</v>
      </c>
      <c r="X5" s="0" t="s">
        <v>201</v>
      </c>
      <c r="Y5" s="0" t="n">
        <f aca="false">COUNTIFS(Personel!$F$6:$F$85,"&gt;="&amp;15,Personel!$F$6:$F$85,"&lt;"&amp;999,Personel!$C$6:$C$85,IF(Dashboard!$O$4="Tümü","*",Dashboard!$O$4))</f>
        <v>2</v>
      </c>
      <c r="Z5" s="0" t="n">
        <f aca="false">SUMIFS(Personel!$G$6:$G$85,Personel!$F$6:$F$85,"&gt;="&amp;15,Personel!$F$6:$F$85,"&lt;"&amp;999,Personel!$C$6:$C$85,IF(Dashboard!$O$4="Tümü","*",Dashboard!$O$4))</f>
        <v>52</v>
      </c>
      <c r="AA5" s="0" t="n">
        <f aca="false">SUMIFS(Personel!$J$6:$J$85,Personel!$F$6:$F$85,"&gt;="&amp;15,Personel!$F$6:$F$85,"&lt;"&amp;999,Personel!$C$6:$C$85,IF(Dashboard!$O$4="Tümü","*",Dashboard!$O$4))</f>
        <v>55</v>
      </c>
    </row>
    <row r="6" customFormat="false" ht="15" hidden="false" customHeight="false" outlineLevel="0" collapsed="false">
      <c r="A6" s="0" t="s">
        <v>202</v>
      </c>
      <c r="B6" s="0" t="n">
        <f aca="false">SUMIFS('İzin Kayıtları'!$H:$H,'İzin Kayıtları'!$K:$K,Listeler!$F$6,'İzin Kayıtları'!$L:$L,5,'İzin Kayıtları'!$I:$I,"Onaylandı",'İzin Kayıtları'!$E:$E,"Yıllık izin",'İzin Kayıtları'!$D:$D,IF(Dashboard!$O$4="Tümü","*",Dashboard!$O$4))</f>
        <v>8</v>
      </c>
      <c r="C6" s="0" t="n">
        <f aca="false">SUMIFS('İzin Kayıtları'!$H:$H,'İzin Kayıtları'!$K:$K,Listeler!$F$6,'İzin Kayıtları'!$L:$L,5,'İzin Kayıtları'!$I:$I,"Onaylandı",'İzin Kayıtları'!$E:$E,"Rapor",'İzin Kayıtları'!$D:$D,IF(Dashboard!$O$4="Tümü","*",Dashboard!$O$4))</f>
        <v>0</v>
      </c>
      <c r="D6" s="0" t="n">
        <f aca="false">SUMIFS('İzin Kayıtları'!$H:$H,'İzin Kayıtları'!$K:$K,Listeler!$F$6,'İzin Kayıtları'!$L:$L,5,'İzin Kayıtları'!$I:$I,"Onaylandı",'İzin Kayıtları'!$D:$D,IF(Dashboard!$O$4="Tümü","*",Dashboard!$O$4))-B6-C6</f>
        <v>0</v>
      </c>
      <c r="F6" s="0" t="s">
        <v>134</v>
      </c>
      <c r="G6" s="0" t="n">
        <f aca="false">COUNTIF(Personel!$C:$C,F6)</f>
        <v>3</v>
      </c>
      <c r="H6" s="0" t="n">
        <f aca="false">SUMIF(Personel!$C:$C,F6,Personel!$I:$I)</f>
        <v>8</v>
      </c>
      <c r="I6" s="0" t="n">
        <f aca="false">SUMIF(Personel!$C:$C,F6,Personel!$J:$J)</f>
        <v>51</v>
      </c>
      <c r="J6" s="0" t="n">
        <f aca="false">COUNTIFS('İzin Kayıtları'!$D:$D,F6,'İzin Kayıtları'!$I:$I,"Onaylandı",'İzin Kayıtları'!$F:$F,"&lt;="&amp;Listeler!$F$5,'İzin Kayıtları'!$G:$G,"&gt;="&amp;Listeler!$F$5)</f>
        <v>1</v>
      </c>
      <c r="L6" s="0" t="s">
        <v>162</v>
      </c>
      <c r="M6" s="0" t="n">
        <f aca="false">SUMIFS('İzin Kayıtları'!$H:$H,'İzin Kayıtları'!$E:$E,L6,'İzin Kayıtları'!$I:$I,"Onaylandı",'İzin Kayıtları'!$K:$K,Listeler!$F$6,'İzin Kayıtları'!$D:$D,IF(Dashboard!$O$4="Tümü","*",Dashboard!$O$4))</f>
        <v>0</v>
      </c>
      <c r="N6" s="0" t="n">
        <f aca="false">COUNTIFS('İzin Kayıtları'!$E:$E,L6,'İzin Kayıtları'!$K:$K,Listeler!$F$6)</f>
        <v>0</v>
      </c>
      <c r="P6" s="0" t="n">
        <f aca="false">IF(OR(Personel!A10="",NOT(OR(Dashboard!$O$4="Tümü",Personel!C10=Dashboard!$O$4))),-1000,Personel!J10+ROW()/100000)</f>
        <v>18.00006</v>
      </c>
      <c r="Q6" s="0" t="n">
        <v>5</v>
      </c>
      <c r="R6" s="0" t="str">
        <f aca="false">IF(T6&lt;0,"",INDEX(Personel!$B$6:$B$85,MATCH(T6,$P$2:$P$81,0)))</f>
        <v>Tolga Güneş</v>
      </c>
      <c r="S6" s="0" t="n">
        <f aca="false">IF(T6&lt;0,0,ROUND(T6,0))</f>
        <v>22</v>
      </c>
      <c r="T6" s="0" t="n">
        <f aca="false">LARGE($P$2:$P$81,5)</f>
        <v>22.00017</v>
      </c>
      <c r="V6" s="0" t="n">
        <f aca="false">V5+(AND('İzin Kayıtları'!$I10="Onaylandı",'İzin Kayıtları'!$F10&lt;&gt;"",'İzin Kayıtları'!$F10&lt;=Listeler!$F$5,'İzin Kayıtları'!$G10&gt;=Listeler!$F$5,OR(Dashboard!$O$4="Tümü",'İzin Kayıtları'!$D10=Dashboard!$O$4))*1)</f>
        <v>0</v>
      </c>
    </row>
    <row r="7" customFormat="false" ht="15" hidden="false" customHeight="false" outlineLevel="0" collapsed="false">
      <c r="A7" s="0" t="s">
        <v>203</v>
      </c>
      <c r="B7" s="0" t="n">
        <f aca="false">SUMIFS('İzin Kayıtları'!$H:$H,'İzin Kayıtları'!$K:$K,Listeler!$F$6,'İzin Kayıtları'!$L:$L,6,'İzin Kayıtları'!$I:$I,"Onaylandı",'İzin Kayıtları'!$E:$E,"Yıllık izin",'İzin Kayıtları'!$D:$D,IF(Dashboard!$O$4="Tümü","*",Dashboard!$O$4))</f>
        <v>18</v>
      </c>
      <c r="C7" s="0" t="n">
        <f aca="false">SUMIFS('İzin Kayıtları'!$H:$H,'İzin Kayıtları'!$K:$K,Listeler!$F$6,'İzin Kayıtları'!$L:$L,6,'İzin Kayıtları'!$I:$I,"Onaylandı",'İzin Kayıtları'!$E:$E,"Rapor",'İzin Kayıtları'!$D:$D,IF(Dashboard!$O$4="Tümü","*",Dashboard!$O$4))</f>
        <v>1</v>
      </c>
      <c r="D7" s="0" t="n">
        <f aca="false">SUMIFS('İzin Kayıtları'!$H:$H,'İzin Kayıtları'!$K:$K,Listeler!$F$6,'İzin Kayıtları'!$L:$L,6,'İzin Kayıtları'!$I:$I,"Onaylandı",'İzin Kayıtları'!$D:$D,IF(Dashboard!$O$4="Tümü","*",Dashboard!$O$4))-B7-C7</f>
        <v>2</v>
      </c>
      <c r="F7" s="0" t="s">
        <v>138</v>
      </c>
      <c r="G7" s="0" t="n">
        <f aca="false">COUNTIF(Personel!$C:$C,F7)</f>
        <v>1</v>
      </c>
      <c r="H7" s="0" t="n">
        <f aca="false">SUMIF(Personel!$C:$C,F7,Personel!$I:$I)</f>
        <v>5</v>
      </c>
      <c r="I7" s="0" t="n">
        <f aca="false">SUMIF(Personel!$C:$C,F7,Personel!$J:$J)</f>
        <v>3</v>
      </c>
      <c r="J7" s="0" t="n">
        <f aca="false">COUNTIFS('İzin Kayıtları'!$D:$D,F7,'İzin Kayıtları'!$I:$I,"Onaylandı",'İzin Kayıtları'!$F:$F,"&lt;="&amp;Listeler!$F$5,'İzin Kayıtları'!$G:$G,"&gt;="&amp;Listeler!$F$5)</f>
        <v>0</v>
      </c>
      <c r="L7" s="0" t="s">
        <v>164</v>
      </c>
      <c r="M7" s="0" t="n">
        <f aca="false">SUMIFS('İzin Kayıtları'!$H:$H,'İzin Kayıtları'!$E:$E,L7,'İzin Kayıtları'!$I:$I,"Onaylandı",'İzin Kayıtları'!$K:$K,Listeler!$F$6,'İzin Kayıtları'!$D:$D,IF(Dashboard!$O$4="Tümü","*",Dashboard!$O$4))</f>
        <v>0</v>
      </c>
      <c r="N7" s="0" t="n">
        <f aca="false">COUNTIFS('İzin Kayıtları'!$E:$E,L7,'İzin Kayıtları'!$K:$K,Listeler!$F$6)</f>
        <v>0</v>
      </c>
      <c r="P7" s="0" t="n">
        <f aca="false">IF(OR(Personel!A11="",NOT(OR(Dashboard!$O$4="Tümü",Personel!C11=Dashboard!$O$4))),-1000,Personel!J11+ROW()/100000)</f>
        <v>29.00007</v>
      </c>
      <c r="Q7" s="0" t="n">
        <v>6</v>
      </c>
      <c r="R7" s="0" t="str">
        <f aca="false">IF(T7&lt;0,"",INDEX(Personel!$B$6:$B$85,MATCH(T7,$P$2:$P$81,0)))</f>
        <v>Büşra Erdem</v>
      </c>
      <c r="S7" s="0" t="n">
        <f aca="false">IF(T7&lt;0,0,ROUND(T7,0))</f>
        <v>21</v>
      </c>
      <c r="T7" s="0" t="n">
        <f aca="false">LARGE($P$2:$P$81,6)</f>
        <v>21.00016</v>
      </c>
      <c r="V7" s="0" t="n">
        <f aca="false">V6+(AND('İzin Kayıtları'!$I11="Onaylandı",'İzin Kayıtları'!$F11&lt;&gt;"",'İzin Kayıtları'!$F11&lt;=Listeler!$F$5,'İzin Kayıtları'!$G11&gt;=Listeler!$F$5,OR(Dashboard!$O$4="Tümü",'İzin Kayıtları'!$D11=Dashboard!$O$4))*1)</f>
        <v>0</v>
      </c>
    </row>
    <row r="8" customFormat="false" ht="15" hidden="false" customHeight="false" outlineLevel="0" collapsed="false">
      <c r="A8" s="0" t="s">
        <v>204</v>
      </c>
      <c r="B8" s="0" t="n">
        <f aca="false">SUMIFS('İzin Kayıtları'!$H:$H,'İzin Kayıtları'!$K:$K,Listeler!$F$6,'İzin Kayıtları'!$L:$L,7,'İzin Kayıtları'!$I:$I,"Onaylandı",'İzin Kayıtları'!$E:$E,"Yıllık izin",'İzin Kayıtları'!$D:$D,IF(Dashboard!$O$4="Tümü","*",Dashboard!$O$4))</f>
        <v>21</v>
      </c>
      <c r="C8" s="0" t="n">
        <f aca="false">SUMIFS('İzin Kayıtları'!$H:$H,'İzin Kayıtları'!$K:$K,Listeler!$F$6,'İzin Kayıtları'!$L:$L,7,'İzin Kayıtları'!$I:$I,"Onaylandı",'İzin Kayıtları'!$E:$E,"Rapor",'İzin Kayıtları'!$D:$D,IF(Dashboard!$O$4="Tümü","*",Dashboard!$O$4))</f>
        <v>4</v>
      </c>
      <c r="D8" s="0" t="n">
        <f aca="false">SUMIFS('İzin Kayıtları'!$H:$H,'İzin Kayıtları'!$K:$K,Listeler!$F$6,'İzin Kayıtları'!$L:$L,7,'İzin Kayıtları'!$I:$I,"Onaylandı",'İzin Kayıtları'!$D:$D,IF(Dashboard!$O$4="Tümü","*",Dashboard!$O$4))-B8-C8</f>
        <v>7</v>
      </c>
      <c r="P8" s="0" t="n">
        <f aca="false">IF(OR(Personel!A12="",NOT(OR(Dashboard!$O$4="Tümü",Personel!C12=Dashboard!$O$4))),-1000,Personel!J12+ROW()/100000)</f>
        <v>16.00008</v>
      </c>
      <c r="Q8" s="0" t="n">
        <v>7</v>
      </c>
      <c r="R8" s="0" t="str">
        <f aca="false">IF(T8&lt;0,"",INDEX(Personel!$B$6:$B$85,MATCH(T8,$P$2:$P$81,0)))</f>
        <v>Kerem Uçar</v>
      </c>
      <c r="S8" s="0" t="n">
        <f aca="false">IF(T8&lt;0,0,ROUND(T8,0))</f>
        <v>20</v>
      </c>
      <c r="T8" s="0" t="n">
        <f aca="false">LARGE($P$2:$P$81,7)</f>
        <v>20.00019</v>
      </c>
      <c r="V8" s="0" t="n">
        <f aca="false">V7+(AND('İzin Kayıtları'!$I12="Onaylandı",'İzin Kayıtları'!$F12&lt;&gt;"",'İzin Kayıtları'!$F12&lt;=Listeler!$F$5,'İzin Kayıtları'!$G12&gt;=Listeler!$F$5,OR(Dashboard!$O$4="Tümü",'İzin Kayıtları'!$D12=Dashboard!$O$4))*1)</f>
        <v>0</v>
      </c>
    </row>
    <row r="9" customFormat="false" ht="15" hidden="false" customHeight="false" outlineLevel="0" collapsed="false">
      <c r="A9" s="0" t="s">
        <v>205</v>
      </c>
      <c r="B9" s="0" t="n">
        <f aca="false">SUMIFS('İzin Kayıtları'!$H:$H,'İzin Kayıtları'!$K:$K,Listeler!$F$6,'İzin Kayıtları'!$L:$L,8,'İzin Kayıtları'!$I:$I,"Onaylandı",'İzin Kayıtları'!$E:$E,"Yıllık izin",'İzin Kayıtları'!$D:$D,IF(Dashboard!$O$4="Tümü","*",Dashboard!$O$4))</f>
        <v>24</v>
      </c>
      <c r="C9" s="0" t="n">
        <f aca="false">SUMIFS('İzin Kayıtları'!$H:$H,'İzin Kayıtları'!$K:$K,Listeler!$F$6,'İzin Kayıtları'!$L:$L,8,'İzin Kayıtları'!$I:$I,"Onaylandı",'İzin Kayıtları'!$E:$E,"Rapor",'İzin Kayıtları'!$D:$D,IF(Dashboard!$O$4="Tümü","*",Dashboard!$O$4))</f>
        <v>0</v>
      </c>
      <c r="D9" s="0" t="n">
        <f aca="false">SUMIFS('İzin Kayıtları'!$H:$H,'İzin Kayıtları'!$K:$K,Listeler!$F$6,'İzin Kayıtları'!$L:$L,8,'İzin Kayıtları'!$I:$I,"Onaylandı",'İzin Kayıtları'!$D:$D,IF(Dashboard!$O$4="Tümü","*",Dashboard!$O$4))-B9-C9</f>
        <v>4</v>
      </c>
      <c r="P9" s="0" t="n">
        <f aca="false">IF(OR(Personel!A13="",NOT(OR(Dashboard!$O$4="Tümü",Personel!C13=Dashboard!$O$4))),-1000,Personel!J13+ROW()/100000)</f>
        <v>8.00009</v>
      </c>
      <c r="Q9" s="0" t="n">
        <v>8</v>
      </c>
      <c r="R9" s="0" t="str">
        <f aca="false">IF(T9&lt;0,"",INDEX(Personel!$B$6:$B$85,MATCH(T9,$P$2:$P$81,0)))</f>
        <v>Okan Yılmaz</v>
      </c>
      <c r="S9" s="0" t="n">
        <f aca="false">IF(T9&lt;0,0,ROUND(T9,0))</f>
        <v>20</v>
      </c>
      <c r="T9" s="0" t="n">
        <f aca="false">LARGE($P$2:$P$81,8)</f>
        <v>20.00013</v>
      </c>
      <c r="V9" s="0" t="n">
        <f aca="false">V8+(AND('İzin Kayıtları'!$I13="Onaylandı",'İzin Kayıtları'!$F13&lt;&gt;"",'İzin Kayıtları'!$F13&lt;=Listeler!$F$5,'İzin Kayıtları'!$G13&gt;=Listeler!$F$5,OR(Dashboard!$O$4="Tümü",'İzin Kayıtları'!$D13=Dashboard!$O$4))*1)</f>
        <v>0</v>
      </c>
    </row>
    <row r="10" customFormat="false" ht="15" hidden="false" customHeight="false" outlineLevel="0" collapsed="false">
      <c r="A10" s="0" t="s">
        <v>206</v>
      </c>
      <c r="B10" s="0" t="n">
        <f aca="false">SUMIFS('İzin Kayıtları'!$H:$H,'İzin Kayıtları'!$K:$K,Listeler!$F$6,'İzin Kayıtları'!$L:$L,9,'İzin Kayıtları'!$I:$I,"Onaylandı",'İzin Kayıtları'!$E:$E,"Yıllık izin",'İzin Kayıtları'!$D:$D,IF(Dashboard!$O$4="Tümü","*",Dashboard!$O$4))</f>
        <v>5</v>
      </c>
      <c r="C10" s="0" t="n">
        <f aca="false">SUMIFS('İzin Kayıtları'!$H:$H,'İzin Kayıtları'!$K:$K,Listeler!$F$6,'İzin Kayıtları'!$L:$L,9,'İzin Kayıtları'!$I:$I,"Onaylandı",'İzin Kayıtları'!$E:$E,"Rapor",'İzin Kayıtları'!$D:$D,IF(Dashboard!$O$4="Tümü","*",Dashboard!$O$4))</f>
        <v>3</v>
      </c>
      <c r="D10" s="0" t="n">
        <f aca="false">SUMIFS('İzin Kayıtları'!$H:$H,'İzin Kayıtları'!$K:$K,Listeler!$F$6,'İzin Kayıtları'!$L:$L,9,'İzin Kayıtları'!$I:$I,"Onaylandı",'İzin Kayıtları'!$D:$D,IF(Dashboard!$O$4="Tümü","*",Dashboard!$O$4))-B10-C10</f>
        <v>0</v>
      </c>
      <c r="P10" s="0" t="n">
        <f aca="false">IF(OR(Personel!A14="",NOT(OR(Dashboard!$O$4="Tümü",Personel!C14=Dashboard!$O$4))),-1000,Personel!J14+ROW()/100000)</f>
        <v>25.0001</v>
      </c>
      <c r="Q10" s="0" t="n">
        <v>9</v>
      </c>
      <c r="R10" s="0" t="str">
        <f aca="false">IF(T10&lt;0,"",INDEX(Personel!$B$6:$B$85,MATCH(T10,$P$2:$P$81,0)))</f>
        <v>Derya Kurt</v>
      </c>
      <c r="S10" s="0" t="n">
        <f aca="false">IF(T10&lt;0,0,ROUND(T10,0))</f>
        <v>19</v>
      </c>
      <c r="T10" s="0" t="n">
        <f aca="false">LARGE($P$2:$P$81,9)</f>
        <v>19.00012</v>
      </c>
      <c r="V10" s="0" t="n">
        <f aca="false">V9+(AND('İzin Kayıtları'!$I14="Onaylandı",'İzin Kayıtları'!$F14&lt;&gt;"",'İzin Kayıtları'!$F14&lt;=Listeler!$F$5,'İzin Kayıtları'!$G14&gt;=Listeler!$F$5,OR(Dashboard!$O$4="Tümü",'İzin Kayıtları'!$D14=Dashboard!$O$4))*1)</f>
        <v>0</v>
      </c>
    </row>
    <row r="11" customFormat="false" ht="15" hidden="false" customHeight="false" outlineLevel="0" collapsed="false">
      <c r="A11" s="0" t="s">
        <v>207</v>
      </c>
      <c r="B11" s="0" t="n">
        <f aca="false">SUMIFS('İzin Kayıtları'!$H:$H,'İzin Kayıtları'!$K:$K,Listeler!$F$6,'İzin Kayıtları'!$L:$L,10,'İzin Kayıtları'!$I:$I,"Onaylandı",'İzin Kayıtları'!$E:$E,"Yıllık izin",'İzin Kayıtları'!$D:$D,IF(Dashboard!$O$4="Tümü","*",Dashboard!$O$4))</f>
        <v>9</v>
      </c>
      <c r="C11" s="0" t="n">
        <f aca="false">SUMIFS('İzin Kayıtları'!$H:$H,'İzin Kayıtları'!$K:$K,Listeler!$F$6,'İzin Kayıtları'!$L:$L,10,'İzin Kayıtları'!$I:$I,"Onaylandı",'İzin Kayıtları'!$E:$E,"Rapor",'İzin Kayıtları'!$D:$D,IF(Dashboard!$O$4="Tümü","*",Dashboard!$O$4))</f>
        <v>7</v>
      </c>
      <c r="D11" s="0" t="n">
        <f aca="false">SUMIFS('İzin Kayıtları'!$H:$H,'İzin Kayıtları'!$K:$K,Listeler!$F$6,'İzin Kayıtları'!$L:$L,10,'İzin Kayıtları'!$I:$I,"Onaylandı",'İzin Kayıtları'!$D:$D,IF(Dashboard!$O$4="Tümü","*",Dashboard!$O$4))-B11-C11</f>
        <v>0</v>
      </c>
      <c r="P11" s="0" t="n">
        <f aca="false">IF(OR(Personel!A15="",NOT(OR(Dashboard!$O$4="Tümü",Personel!C15=Dashboard!$O$4))),-1000,Personel!J15+ROW()/100000)</f>
        <v>25.00011</v>
      </c>
      <c r="Q11" s="0" t="n">
        <v>10</v>
      </c>
      <c r="R11" s="0" t="str">
        <f aca="false">IF(T11&lt;0,"",INDEX(Personel!$B$6:$B$85,MATCH(T11,$P$2:$P$81,0)))</f>
        <v>Ece Karaca</v>
      </c>
      <c r="S11" s="0" t="n">
        <f aca="false">IF(T11&lt;0,0,ROUND(T11,0))</f>
        <v>18</v>
      </c>
      <c r="T11" s="0" t="n">
        <f aca="false">LARGE($P$2:$P$81,10)</f>
        <v>18.00022</v>
      </c>
      <c r="V11" s="0" t="n">
        <f aca="false">V10+(AND('İzin Kayıtları'!$I15="Onaylandı",'İzin Kayıtları'!$F15&lt;&gt;"",'İzin Kayıtları'!$F15&lt;=Listeler!$F$5,'İzin Kayıtları'!$G15&gt;=Listeler!$F$5,OR(Dashboard!$O$4="Tümü",'İzin Kayıtları'!$D15=Dashboard!$O$4))*1)</f>
        <v>0</v>
      </c>
    </row>
    <row r="12" customFormat="false" ht="15" hidden="false" customHeight="false" outlineLevel="0" collapsed="false">
      <c r="A12" s="0" t="s">
        <v>208</v>
      </c>
      <c r="B12" s="0" t="n">
        <f aca="false">SUMIFS('İzin Kayıtları'!$H:$H,'İzin Kayıtları'!$K:$K,Listeler!$F$6,'İzin Kayıtları'!$L:$L,11,'İzin Kayıtları'!$I:$I,"Onaylandı",'İzin Kayıtları'!$E:$E,"Yıllık izin",'İzin Kayıtları'!$D:$D,IF(Dashboard!$O$4="Tümü","*",Dashboard!$O$4))</f>
        <v>0</v>
      </c>
      <c r="C12" s="0" t="n">
        <f aca="false">SUMIFS('İzin Kayıtları'!$H:$H,'İzin Kayıtları'!$K:$K,Listeler!$F$6,'İzin Kayıtları'!$L:$L,11,'İzin Kayıtları'!$I:$I,"Onaylandı",'İzin Kayıtları'!$E:$E,"Rapor",'İzin Kayıtları'!$D:$D,IF(Dashboard!$O$4="Tümü","*",Dashboard!$O$4))</f>
        <v>0</v>
      </c>
      <c r="D12" s="0" t="n">
        <f aca="false">SUMIFS('İzin Kayıtları'!$H:$H,'İzin Kayıtları'!$K:$K,Listeler!$F$6,'İzin Kayıtları'!$L:$L,11,'İzin Kayıtları'!$I:$I,"Onaylandı",'İzin Kayıtları'!$D:$D,IF(Dashboard!$O$4="Tümü","*",Dashboard!$O$4))-B12-C12</f>
        <v>0</v>
      </c>
      <c r="P12" s="0" t="n">
        <f aca="false">IF(OR(Personel!A16="",NOT(OR(Dashboard!$O$4="Tümü",Personel!C16=Dashboard!$O$4))),-1000,Personel!J16+ROW()/100000)</f>
        <v>19.00012</v>
      </c>
      <c r="V12" s="0" t="n">
        <f aca="false">V11+(AND('İzin Kayıtları'!$I16="Onaylandı",'İzin Kayıtları'!$F16&lt;&gt;"",'İzin Kayıtları'!$F16&lt;=Listeler!$F$5,'İzin Kayıtları'!$G16&gt;=Listeler!$F$5,OR(Dashboard!$O$4="Tümü",'İzin Kayıtları'!$D16=Dashboard!$O$4))*1)</f>
        <v>0</v>
      </c>
    </row>
    <row r="13" customFormat="false" ht="15" hidden="false" customHeight="false" outlineLevel="0" collapsed="false">
      <c r="A13" s="0" t="s">
        <v>209</v>
      </c>
      <c r="B13" s="0" t="n">
        <f aca="false">SUMIFS('İzin Kayıtları'!$H:$H,'İzin Kayıtları'!$K:$K,Listeler!$F$6,'İzin Kayıtları'!$L:$L,12,'İzin Kayıtları'!$I:$I,"Onaylandı",'İzin Kayıtları'!$E:$E,"Yıllık izin",'İzin Kayıtları'!$D:$D,IF(Dashboard!$O$4="Tümü","*",Dashboard!$O$4))</f>
        <v>0</v>
      </c>
      <c r="C13" s="0" t="n">
        <f aca="false">SUMIFS('İzin Kayıtları'!$H:$H,'İzin Kayıtları'!$K:$K,Listeler!$F$6,'İzin Kayıtları'!$L:$L,12,'İzin Kayıtları'!$I:$I,"Onaylandı",'İzin Kayıtları'!$E:$E,"Rapor",'İzin Kayıtları'!$D:$D,IF(Dashboard!$O$4="Tümü","*",Dashboard!$O$4))</f>
        <v>0</v>
      </c>
      <c r="D13" s="0" t="n">
        <f aca="false">SUMIFS('İzin Kayıtları'!$H:$H,'İzin Kayıtları'!$K:$K,Listeler!$F$6,'İzin Kayıtları'!$L:$L,12,'İzin Kayıtları'!$I:$I,"Onaylandı",'İzin Kayıtları'!$D:$D,IF(Dashboard!$O$4="Tümü","*",Dashboard!$O$4))-B13-C13</f>
        <v>0</v>
      </c>
      <c r="P13" s="0" t="n">
        <f aca="false">IF(OR(Personel!A17="",NOT(OR(Dashboard!$O$4="Tümü",Personel!C17=Dashboard!$O$4))),-1000,Personel!J17+ROW()/100000)</f>
        <v>20.00013</v>
      </c>
      <c r="V13" s="0" t="n">
        <f aca="false">V12+(AND('İzin Kayıtları'!$I17="Onaylandı",'İzin Kayıtları'!$F17&lt;&gt;"",'İzin Kayıtları'!$F17&lt;=Listeler!$F$5,'İzin Kayıtları'!$G17&gt;=Listeler!$F$5,OR(Dashboard!$O$4="Tümü",'İzin Kayıtları'!$D17=Dashboard!$O$4))*1)</f>
        <v>0</v>
      </c>
    </row>
    <row r="14" customFormat="false" ht="15" hidden="false" customHeight="false" outlineLevel="0" collapsed="false">
      <c r="P14" s="0" t="n">
        <f aca="false">IF(OR(Personel!A18="",NOT(OR(Dashboard!$O$4="Tümü",Personel!C18=Dashboard!$O$4))),-1000,Personel!J18+ROW()/100000)</f>
        <v>3.00014</v>
      </c>
      <c r="V14" s="0" t="n">
        <f aca="false">V13+(AND('İzin Kayıtları'!$I18="Onaylandı",'İzin Kayıtları'!$F18&lt;&gt;"",'İzin Kayıtları'!$F18&lt;=Listeler!$F$5,'İzin Kayıtları'!$G18&gt;=Listeler!$F$5,OR(Dashboard!$O$4="Tümü",'İzin Kayıtları'!$D18=Dashboard!$O$4))*1)</f>
        <v>0</v>
      </c>
    </row>
    <row r="15" customFormat="false" ht="15" hidden="false" customHeight="false" outlineLevel="0" collapsed="false">
      <c r="P15" s="0" t="n">
        <f aca="false">IF(OR(Personel!A19="",NOT(OR(Dashboard!$O$4="Tümü",Personel!C19=Dashboard!$O$4))),-1000,Personel!J19+ROW()/100000)</f>
        <v>7.00015</v>
      </c>
      <c r="V15" s="0" t="n">
        <f aca="false">V14+(AND('İzin Kayıtları'!$I19="Onaylandı",'İzin Kayıtları'!$F19&lt;&gt;"",'İzin Kayıtları'!$F19&lt;=Listeler!$F$5,'İzin Kayıtları'!$G19&gt;=Listeler!$F$5,OR(Dashboard!$O$4="Tümü",'İzin Kayıtları'!$D19=Dashboard!$O$4))*1)</f>
        <v>0</v>
      </c>
    </row>
    <row r="16" customFormat="false" ht="15" hidden="false" customHeight="false" outlineLevel="0" collapsed="false">
      <c r="P16" s="0" t="n">
        <f aca="false">IF(OR(Personel!A20="",NOT(OR(Dashboard!$O$4="Tümü",Personel!C20=Dashboard!$O$4))),-1000,Personel!J20+ROW()/100000)</f>
        <v>21.00016</v>
      </c>
      <c r="V16" s="0" t="n">
        <f aca="false">V15+(AND('İzin Kayıtları'!$I20="Onaylandı",'İzin Kayıtları'!$F20&lt;&gt;"",'İzin Kayıtları'!$F20&lt;=Listeler!$F$5,'İzin Kayıtları'!$G20&gt;=Listeler!$F$5,OR(Dashboard!$O$4="Tümü",'İzin Kayıtları'!$D20=Dashboard!$O$4))*1)</f>
        <v>0</v>
      </c>
    </row>
    <row r="17" customFormat="false" ht="15" hidden="false" customHeight="false" outlineLevel="0" collapsed="false">
      <c r="P17" s="0" t="n">
        <f aca="false">IF(OR(Personel!A21="",NOT(OR(Dashboard!$O$4="Tümü",Personel!C21=Dashboard!$O$4))),-1000,Personel!J21+ROW()/100000)</f>
        <v>22.00017</v>
      </c>
      <c r="V17" s="0" t="n">
        <f aca="false">V16+(AND('İzin Kayıtları'!$I21="Onaylandı",'İzin Kayıtları'!$F21&lt;&gt;"",'İzin Kayıtları'!$F21&lt;=Listeler!$F$5,'İzin Kayıtları'!$G21&gt;=Listeler!$F$5,OR(Dashboard!$O$4="Tümü",'İzin Kayıtları'!$D21=Dashboard!$O$4))*1)</f>
        <v>0</v>
      </c>
    </row>
    <row r="18" customFormat="false" ht="15" hidden="false" customHeight="false" outlineLevel="0" collapsed="false">
      <c r="P18" s="0" t="n">
        <f aca="false">IF(OR(Personel!A22="",NOT(OR(Dashboard!$O$4="Tümü",Personel!C22=Dashboard!$O$4))),-1000,Personel!J22+ROW()/100000)</f>
        <v>11.00018</v>
      </c>
      <c r="V18" s="0" t="n">
        <f aca="false">V17+(AND('İzin Kayıtları'!$I22="Onaylandı",'İzin Kayıtları'!$F22&lt;&gt;"",'İzin Kayıtları'!$F22&lt;=Listeler!$F$5,'İzin Kayıtları'!$G22&gt;=Listeler!$F$5,OR(Dashboard!$O$4="Tümü",'İzin Kayıtları'!$D22=Dashboard!$O$4))*1)</f>
        <v>0</v>
      </c>
    </row>
    <row r="19" customFormat="false" ht="15" hidden="false" customHeight="false" outlineLevel="0" collapsed="false">
      <c r="P19" s="0" t="n">
        <f aca="false">IF(OR(Personel!A23="",NOT(OR(Dashboard!$O$4="Tümü",Personel!C23=Dashboard!$O$4))),-1000,Personel!J23+ROW()/100000)</f>
        <v>20.00019</v>
      </c>
      <c r="V19" s="0" t="n">
        <f aca="false">V18+(AND('İzin Kayıtları'!$I23="Onaylandı",'İzin Kayıtları'!$F23&lt;&gt;"",'İzin Kayıtları'!$F23&lt;=Listeler!$F$5,'İzin Kayıtları'!$G23&gt;=Listeler!$F$5,OR(Dashboard!$O$4="Tümü",'İzin Kayıtları'!$D23=Dashboard!$O$4))*1)</f>
        <v>0</v>
      </c>
    </row>
    <row r="20" customFormat="false" ht="15" hidden="false" customHeight="false" outlineLevel="0" collapsed="false">
      <c r="P20" s="0" t="n">
        <f aca="false">IF(OR(Personel!A24="",NOT(OR(Dashboard!$O$4="Tümü",Personel!C24=Dashboard!$O$4))),-1000,Personel!J24+ROW()/100000)</f>
        <v>12.0002</v>
      </c>
      <c r="V20" s="0" t="n">
        <f aca="false">V19+(AND('İzin Kayıtları'!$I24="Onaylandı",'İzin Kayıtları'!$F24&lt;&gt;"",'İzin Kayıtları'!$F24&lt;=Listeler!$F$5,'İzin Kayıtları'!$G24&gt;=Listeler!$F$5,OR(Dashboard!$O$4="Tümü",'İzin Kayıtları'!$D24=Dashboard!$O$4))*1)</f>
        <v>0</v>
      </c>
    </row>
    <row r="21" customFormat="false" ht="15" hidden="false" customHeight="false" outlineLevel="0" collapsed="false">
      <c r="P21" s="0" t="n">
        <f aca="false">IF(OR(Personel!A25="",NOT(OR(Dashboard!$O$4="Tümü",Personel!C25=Dashboard!$O$4))),-1000,Personel!J25+ROW()/100000)</f>
        <v>8.00021</v>
      </c>
      <c r="V21" s="0" t="n">
        <f aca="false">V20+(AND('İzin Kayıtları'!$I25="Onaylandı",'İzin Kayıtları'!$F25&lt;&gt;"",'İzin Kayıtları'!$F25&lt;=Listeler!$F$5,'İzin Kayıtları'!$G25&gt;=Listeler!$F$5,OR(Dashboard!$O$4="Tümü",'İzin Kayıtları'!$D25=Dashboard!$O$4))*1)</f>
        <v>0</v>
      </c>
    </row>
    <row r="22" customFormat="false" ht="15" hidden="false" customHeight="false" outlineLevel="0" collapsed="false">
      <c r="P22" s="0" t="n">
        <f aca="false">IF(OR(Personel!A26="",NOT(OR(Dashboard!$O$4="Tümü",Personel!C26=Dashboard!$O$4))),-1000,Personel!J26+ROW()/100000)</f>
        <v>18.00022</v>
      </c>
      <c r="V22" s="0" t="n">
        <f aca="false">V21+(AND('İzin Kayıtları'!$I26="Onaylandı",'İzin Kayıtları'!$F26&lt;&gt;"",'İzin Kayıtları'!$F26&lt;=Listeler!$F$5,'İzin Kayıtları'!$G26&gt;=Listeler!$F$5,OR(Dashboard!$O$4="Tümü",'İzin Kayıtları'!$D26=Dashboard!$O$4))*1)</f>
        <v>0</v>
      </c>
    </row>
    <row r="23" customFormat="false" ht="15" hidden="false" customHeight="false" outlineLevel="0" collapsed="false">
      <c r="P23" s="0" t="n">
        <f aca="false">IF(OR(Personel!A27="",NOT(OR(Dashboard!$O$4="Tümü",Personel!C27=Dashboard!$O$4))),-1000,Personel!J27+ROW()/100000)</f>
        <v>15.00023</v>
      </c>
      <c r="V23" s="0" t="n">
        <f aca="false">V22+(AND('İzin Kayıtları'!$I27="Onaylandı",'İzin Kayıtları'!$F27&lt;&gt;"",'İzin Kayıtları'!$F27&lt;=Listeler!$F$5,'İzin Kayıtları'!$G27&gt;=Listeler!$F$5,OR(Dashboard!$O$4="Tümü",'İzin Kayıtları'!$D27=Dashboard!$O$4))*1)</f>
        <v>0</v>
      </c>
    </row>
    <row r="24" customFormat="false" ht="15" hidden="false" customHeight="false" outlineLevel="0" collapsed="false">
      <c r="P24" s="0" t="n">
        <f aca="false">IF(OR(Personel!A28="",NOT(OR(Dashboard!$O$4="Tümü",Personel!C28=Dashboard!$O$4))),-1000,Personel!J28+ROW()/100000)</f>
        <v>12.00024</v>
      </c>
      <c r="V24" s="0" t="n">
        <f aca="false">V23+(AND('İzin Kayıtları'!$I28="Onaylandı",'İzin Kayıtları'!$F28&lt;&gt;"",'İzin Kayıtları'!$F28&lt;=Listeler!$F$5,'İzin Kayıtları'!$G28&gt;=Listeler!$F$5,OR(Dashboard!$O$4="Tümü",'İzin Kayıtları'!$D28=Dashboard!$O$4))*1)</f>
        <v>0</v>
      </c>
    </row>
    <row r="25" customFormat="false" ht="15" hidden="false" customHeight="false" outlineLevel="0" collapsed="false">
      <c r="P25" s="0" t="n">
        <f aca="false">IF(OR(Personel!A29="",NOT(OR(Dashboard!$O$4="Tümü",Personel!C29=Dashboard!$O$4))),-1000,Personel!J29+ROW()/100000)</f>
        <v>12.00025</v>
      </c>
      <c r="V25" s="0" t="n">
        <f aca="false">V24+(AND('İzin Kayıtları'!$I29="Onaylandı",'İzin Kayıtları'!$F29&lt;&gt;"",'İzin Kayıtları'!$F29&lt;=Listeler!$F$5,'İzin Kayıtları'!$G29&gt;=Listeler!$F$5,OR(Dashboard!$O$4="Tümü",'İzin Kayıtları'!$D29=Dashboard!$O$4))*1)</f>
        <v>0</v>
      </c>
    </row>
    <row r="26" customFormat="false" ht="15" hidden="false" customHeight="false" outlineLevel="0" collapsed="false">
      <c r="P26" s="0" t="n">
        <f aca="false">IF(OR(Personel!A30="",NOT(OR(Dashboard!$O$4="Tümü",Personel!C30=Dashboard!$O$4))),-1000,Personel!J30+ROW()/100000)</f>
        <v>9.00026</v>
      </c>
      <c r="V26" s="0" t="n">
        <f aca="false">V25+(AND('İzin Kayıtları'!$I30="Onaylandı",'İzin Kayıtları'!$F30&lt;&gt;"",'İzin Kayıtları'!$F30&lt;=Listeler!$F$5,'İzin Kayıtları'!$G30&gt;=Listeler!$F$5,OR(Dashboard!$O$4="Tümü",'İzin Kayıtları'!$D30=Dashboard!$O$4))*1)</f>
        <v>0</v>
      </c>
    </row>
    <row r="27" customFormat="false" ht="15" hidden="false" customHeight="false" outlineLevel="0" collapsed="false">
      <c r="P27" s="0" t="n">
        <f aca="false">IF(OR(Personel!A31="",NOT(OR(Dashboard!$O$4="Tümü",Personel!C31=Dashboard!$O$4))),-1000,Personel!J31+ROW()/100000)</f>
        <v>-1000</v>
      </c>
      <c r="V27" s="0" t="n">
        <f aca="false">V26+(AND('İzin Kayıtları'!$I31="Onaylandı",'İzin Kayıtları'!$F31&lt;&gt;"",'İzin Kayıtları'!$F31&lt;=Listeler!$F$5,'İzin Kayıtları'!$G31&gt;=Listeler!$F$5,OR(Dashboard!$O$4="Tümü",'İzin Kayıtları'!$D31=Dashboard!$O$4))*1)</f>
        <v>0</v>
      </c>
    </row>
    <row r="28" customFormat="false" ht="15" hidden="false" customHeight="false" outlineLevel="0" collapsed="false">
      <c r="P28" s="0" t="n">
        <f aca="false">IF(OR(Personel!A32="",NOT(OR(Dashboard!$O$4="Tümü",Personel!C32=Dashboard!$O$4))),-1000,Personel!J32+ROW()/100000)</f>
        <v>-1000</v>
      </c>
      <c r="V28" s="0" t="n">
        <f aca="false">V27+(AND('İzin Kayıtları'!$I32="Onaylandı",'İzin Kayıtları'!$F32&lt;&gt;"",'İzin Kayıtları'!$F32&lt;=Listeler!$F$5,'İzin Kayıtları'!$G32&gt;=Listeler!$F$5,OR(Dashboard!$O$4="Tümü",'İzin Kayıtları'!$D32=Dashboard!$O$4))*1)</f>
        <v>0</v>
      </c>
    </row>
    <row r="29" customFormat="false" ht="15" hidden="false" customHeight="false" outlineLevel="0" collapsed="false">
      <c r="P29" s="0" t="n">
        <f aca="false">IF(OR(Personel!A33="",NOT(OR(Dashboard!$O$4="Tümü",Personel!C33=Dashboard!$O$4))),-1000,Personel!J33+ROW()/100000)</f>
        <v>-1000</v>
      </c>
      <c r="V29" s="0" t="n">
        <f aca="false">V28+(AND('İzin Kayıtları'!$I33="Onaylandı",'İzin Kayıtları'!$F33&lt;&gt;"",'İzin Kayıtları'!$F33&lt;=Listeler!$F$5,'İzin Kayıtları'!$G33&gt;=Listeler!$F$5,OR(Dashboard!$O$4="Tümü",'İzin Kayıtları'!$D33=Dashboard!$O$4))*1)</f>
        <v>0</v>
      </c>
    </row>
    <row r="30" customFormat="false" ht="15" hidden="false" customHeight="false" outlineLevel="0" collapsed="false">
      <c r="P30" s="0" t="n">
        <f aca="false">IF(OR(Personel!A34="",NOT(OR(Dashboard!$O$4="Tümü",Personel!C34=Dashboard!$O$4))),-1000,Personel!J34+ROW()/100000)</f>
        <v>-1000</v>
      </c>
      <c r="V30" s="0" t="n">
        <f aca="false">V29+(AND('İzin Kayıtları'!$I34="Onaylandı",'İzin Kayıtları'!$F34&lt;&gt;"",'İzin Kayıtları'!$F34&lt;=Listeler!$F$5,'İzin Kayıtları'!$G34&gt;=Listeler!$F$5,OR(Dashboard!$O$4="Tümü",'İzin Kayıtları'!$D34=Dashboard!$O$4))*1)</f>
        <v>0</v>
      </c>
    </row>
    <row r="31" customFormat="false" ht="15" hidden="false" customHeight="false" outlineLevel="0" collapsed="false">
      <c r="P31" s="0" t="n">
        <f aca="false">IF(OR(Personel!A35="",NOT(OR(Dashboard!$O$4="Tümü",Personel!C35=Dashboard!$O$4))),-1000,Personel!J35+ROW()/100000)</f>
        <v>-1000</v>
      </c>
      <c r="V31" s="0" t="n">
        <f aca="false">V30+(AND('İzin Kayıtları'!$I35="Onaylandı",'İzin Kayıtları'!$F35&lt;&gt;"",'İzin Kayıtları'!$F35&lt;=Listeler!$F$5,'İzin Kayıtları'!$G35&gt;=Listeler!$F$5,OR(Dashboard!$O$4="Tümü",'İzin Kayıtları'!$D35=Dashboard!$O$4))*1)</f>
        <v>0</v>
      </c>
    </row>
    <row r="32" customFormat="false" ht="15" hidden="false" customHeight="false" outlineLevel="0" collapsed="false">
      <c r="P32" s="0" t="n">
        <f aca="false">IF(OR(Personel!A36="",NOT(OR(Dashboard!$O$4="Tümü",Personel!C36=Dashboard!$O$4))),-1000,Personel!J36+ROW()/100000)</f>
        <v>-1000</v>
      </c>
      <c r="V32" s="0" t="n">
        <f aca="false">V31+(AND('İzin Kayıtları'!$I36="Onaylandı",'İzin Kayıtları'!$F36&lt;&gt;"",'İzin Kayıtları'!$F36&lt;=Listeler!$F$5,'İzin Kayıtları'!$G36&gt;=Listeler!$F$5,OR(Dashboard!$O$4="Tümü",'İzin Kayıtları'!$D36=Dashboard!$O$4))*1)</f>
        <v>0</v>
      </c>
    </row>
    <row r="33" customFormat="false" ht="15" hidden="false" customHeight="false" outlineLevel="0" collapsed="false">
      <c r="P33" s="0" t="n">
        <f aca="false">IF(OR(Personel!A37="",NOT(OR(Dashboard!$O$4="Tümü",Personel!C37=Dashboard!$O$4))),-1000,Personel!J37+ROW()/100000)</f>
        <v>-1000</v>
      </c>
      <c r="V33" s="0" t="n">
        <f aca="false">V32+(AND('İzin Kayıtları'!$I37="Onaylandı",'İzin Kayıtları'!$F37&lt;&gt;"",'İzin Kayıtları'!$F37&lt;=Listeler!$F$5,'İzin Kayıtları'!$G37&gt;=Listeler!$F$5,OR(Dashboard!$O$4="Tümü",'İzin Kayıtları'!$D37=Dashboard!$O$4))*1)</f>
        <v>0</v>
      </c>
    </row>
    <row r="34" customFormat="false" ht="15" hidden="false" customHeight="false" outlineLevel="0" collapsed="false">
      <c r="P34" s="0" t="n">
        <f aca="false">IF(OR(Personel!A38="",NOT(OR(Dashboard!$O$4="Tümü",Personel!C38=Dashboard!$O$4))),-1000,Personel!J38+ROW()/100000)</f>
        <v>-1000</v>
      </c>
      <c r="V34" s="0" t="n">
        <f aca="false">V33+(AND('İzin Kayıtları'!$I38="Onaylandı",'İzin Kayıtları'!$F38&lt;&gt;"",'İzin Kayıtları'!$F38&lt;=Listeler!$F$5,'İzin Kayıtları'!$G38&gt;=Listeler!$F$5,OR(Dashboard!$O$4="Tümü",'İzin Kayıtları'!$D38=Dashboard!$O$4))*1)</f>
        <v>0</v>
      </c>
    </row>
    <row r="35" customFormat="false" ht="15" hidden="false" customHeight="false" outlineLevel="0" collapsed="false">
      <c r="P35" s="0" t="n">
        <f aca="false">IF(OR(Personel!A39="",NOT(OR(Dashboard!$O$4="Tümü",Personel!C39=Dashboard!$O$4))),-1000,Personel!J39+ROW()/100000)</f>
        <v>-1000</v>
      </c>
      <c r="V35" s="0" t="n">
        <f aca="false">V34+(AND('İzin Kayıtları'!$I39="Onaylandı",'İzin Kayıtları'!$F39&lt;&gt;"",'İzin Kayıtları'!$F39&lt;=Listeler!$F$5,'İzin Kayıtları'!$G39&gt;=Listeler!$F$5,OR(Dashboard!$O$4="Tümü",'İzin Kayıtları'!$D39=Dashboard!$O$4))*1)</f>
        <v>0</v>
      </c>
    </row>
    <row r="36" customFormat="false" ht="15" hidden="false" customHeight="false" outlineLevel="0" collapsed="false">
      <c r="P36" s="0" t="n">
        <f aca="false">IF(OR(Personel!A40="",NOT(OR(Dashboard!$O$4="Tümü",Personel!C40=Dashboard!$O$4))),-1000,Personel!J40+ROW()/100000)</f>
        <v>-1000</v>
      </c>
      <c r="V36" s="0" t="n">
        <f aca="false">V35+(AND('İzin Kayıtları'!$I40="Onaylandı",'İzin Kayıtları'!$F40&lt;&gt;"",'İzin Kayıtları'!$F40&lt;=Listeler!$F$5,'İzin Kayıtları'!$G40&gt;=Listeler!$F$5,OR(Dashboard!$O$4="Tümü",'İzin Kayıtları'!$D40=Dashboard!$O$4))*1)</f>
        <v>0</v>
      </c>
    </row>
    <row r="37" customFormat="false" ht="15" hidden="false" customHeight="false" outlineLevel="0" collapsed="false">
      <c r="P37" s="0" t="n">
        <f aca="false">IF(OR(Personel!A41="",NOT(OR(Dashboard!$O$4="Tümü",Personel!C41=Dashboard!$O$4))),-1000,Personel!J41+ROW()/100000)</f>
        <v>-1000</v>
      </c>
      <c r="V37" s="0" t="n">
        <f aca="false">V36+(AND('İzin Kayıtları'!$I41="Onaylandı",'İzin Kayıtları'!$F41&lt;&gt;"",'İzin Kayıtları'!$F41&lt;=Listeler!$F$5,'İzin Kayıtları'!$G41&gt;=Listeler!$F$5,OR(Dashboard!$O$4="Tümü",'İzin Kayıtları'!$D41=Dashboard!$O$4))*1)</f>
        <v>0</v>
      </c>
    </row>
    <row r="38" customFormat="false" ht="15" hidden="false" customHeight="false" outlineLevel="0" collapsed="false">
      <c r="P38" s="0" t="n">
        <f aca="false">IF(OR(Personel!A42="",NOT(OR(Dashboard!$O$4="Tümü",Personel!C42=Dashboard!$O$4))),-1000,Personel!J42+ROW()/100000)</f>
        <v>-1000</v>
      </c>
      <c r="V38" s="0" t="n">
        <f aca="false">V37+(AND('İzin Kayıtları'!$I42="Onaylandı",'İzin Kayıtları'!$F42&lt;&gt;"",'İzin Kayıtları'!$F42&lt;=Listeler!$F$5,'İzin Kayıtları'!$G42&gt;=Listeler!$F$5,OR(Dashboard!$O$4="Tümü",'İzin Kayıtları'!$D42=Dashboard!$O$4))*1)</f>
        <v>0</v>
      </c>
    </row>
    <row r="39" customFormat="false" ht="15" hidden="false" customHeight="false" outlineLevel="0" collapsed="false">
      <c r="P39" s="0" t="n">
        <f aca="false">IF(OR(Personel!A43="",NOT(OR(Dashboard!$O$4="Tümü",Personel!C43=Dashboard!$O$4))),-1000,Personel!J43+ROW()/100000)</f>
        <v>-1000</v>
      </c>
      <c r="V39" s="0" t="n">
        <f aca="false">V38+(AND('İzin Kayıtları'!$I43="Onaylandı",'İzin Kayıtları'!$F43&lt;&gt;"",'İzin Kayıtları'!$F43&lt;=Listeler!$F$5,'İzin Kayıtları'!$G43&gt;=Listeler!$F$5,OR(Dashboard!$O$4="Tümü",'İzin Kayıtları'!$D43=Dashboard!$O$4))*1)</f>
        <v>0</v>
      </c>
    </row>
    <row r="40" customFormat="false" ht="15" hidden="false" customHeight="false" outlineLevel="0" collapsed="false">
      <c r="P40" s="0" t="n">
        <f aca="false">IF(OR(Personel!A44="",NOT(OR(Dashboard!$O$4="Tümü",Personel!C44=Dashboard!$O$4))),-1000,Personel!J44+ROW()/100000)</f>
        <v>-1000</v>
      </c>
      <c r="V40" s="0" t="n">
        <f aca="false">V39+(AND('İzin Kayıtları'!$I44="Onaylandı",'İzin Kayıtları'!$F44&lt;&gt;"",'İzin Kayıtları'!$F44&lt;=Listeler!$F$5,'İzin Kayıtları'!$G44&gt;=Listeler!$F$5,OR(Dashboard!$O$4="Tümü",'İzin Kayıtları'!$D44=Dashboard!$O$4))*1)</f>
        <v>0</v>
      </c>
    </row>
    <row r="41" customFormat="false" ht="15" hidden="false" customHeight="false" outlineLevel="0" collapsed="false">
      <c r="P41" s="0" t="n">
        <f aca="false">IF(OR(Personel!A45="",NOT(OR(Dashboard!$O$4="Tümü",Personel!C45=Dashboard!$O$4))),-1000,Personel!J45+ROW()/100000)</f>
        <v>-1000</v>
      </c>
      <c r="V41" s="0" t="n">
        <f aca="false">V40+(AND('İzin Kayıtları'!$I45="Onaylandı",'İzin Kayıtları'!$F45&lt;&gt;"",'İzin Kayıtları'!$F45&lt;=Listeler!$F$5,'İzin Kayıtları'!$G45&gt;=Listeler!$F$5,OR(Dashboard!$O$4="Tümü",'İzin Kayıtları'!$D45=Dashboard!$O$4))*1)</f>
        <v>0</v>
      </c>
    </row>
    <row r="42" customFormat="false" ht="15" hidden="false" customHeight="false" outlineLevel="0" collapsed="false">
      <c r="P42" s="0" t="n">
        <f aca="false">IF(OR(Personel!A46="",NOT(OR(Dashboard!$O$4="Tümü",Personel!C46=Dashboard!$O$4))),-1000,Personel!J46+ROW()/100000)</f>
        <v>-1000</v>
      </c>
      <c r="V42" s="0" t="n">
        <f aca="false">V41+(AND('İzin Kayıtları'!$I46="Onaylandı",'İzin Kayıtları'!$F46&lt;&gt;"",'İzin Kayıtları'!$F46&lt;=Listeler!$F$5,'İzin Kayıtları'!$G46&gt;=Listeler!$F$5,OR(Dashboard!$O$4="Tümü",'İzin Kayıtları'!$D46=Dashboard!$O$4))*1)</f>
        <v>0</v>
      </c>
    </row>
    <row r="43" customFormat="false" ht="15" hidden="false" customHeight="false" outlineLevel="0" collapsed="false">
      <c r="P43" s="0" t="n">
        <f aca="false">IF(OR(Personel!A47="",NOT(OR(Dashboard!$O$4="Tümü",Personel!C47=Dashboard!$O$4))),-1000,Personel!J47+ROW()/100000)</f>
        <v>-1000</v>
      </c>
      <c r="V43" s="0" t="n">
        <f aca="false">V42+(AND('İzin Kayıtları'!$I47="Onaylandı",'İzin Kayıtları'!$F47&lt;&gt;"",'İzin Kayıtları'!$F47&lt;=Listeler!$F$5,'İzin Kayıtları'!$G47&gt;=Listeler!$F$5,OR(Dashboard!$O$4="Tümü",'İzin Kayıtları'!$D47=Dashboard!$O$4))*1)</f>
        <v>0</v>
      </c>
    </row>
    <row r="44" customFormat="false" ht="15" hidden="false" customHeight="false" outlineLevel="0" collapsed="false">
      <c r="P44" s="0" t="n">
        <f aca="false">IF(OR(Personel!A48="",NOT(OR(Dashboard!$O$4="Tümü",Personel!C48=Dashboard!$O$4))),-1000,Personel!J48+ROW()/100000)</f>
        <v>-1000</v>
      </c>
      <c r="V44" s="0" t="n">
        <f aca="false">V43+(AND('İzin Kayıtları'!$I48="Onaylandı",'İzin Kayıtları'!$F48&lt;&gt;"",'İzin Kayıtları'!$F48&lt;=Listeler!$F$5,'İzin Kayıtları'!$G48&gt;=Listeler!$F$5,OR(Dashboard!$O$4="Tümü",'İzin Kayıtları'!$D48=Dashboard!$O$4))*1)</f>
        <v>0</v>
      </c>
    </row>
    <row r="45" customFormat="false" ht="15" hidden="false" customHeight="false" outlineLevel="0" collapsed="false">
      <c r="P45" s="0" t="n">
        <f aca="false">IF(OR(Personel!A49="",NOT(OR(Dashboard!$O$4="Tümü",Personel!C49=Dashboard!$O$4))),-1000,Personel!J49+ROW()/100000)</f>
        <v>-1000</v>
      </c>
      <c r="V45" s="0" t="n">
        <f aca="false">V44+(AND('İzin Kayıtları'!$I49="Onaylandı",'İzin Kayıtları'!$F49&lt;&gt;"",'İzin Kayıtları'!$F49&lt;=Listeler!$F$5,'İzin Kayıtları'!$G49&gt;=Listeler!$F$5,OR(Dashboard!$O$4="Tümü",'İzin Kayıtları'!$D49=Dashboard!$O$4))*1)</f>
        <v>0</v>
      </c>
    </row>
    <row r="46" customFormat="false" ht="15" hidden="false" customHeight="false" outlineLevel="0" collapsed="false">
      <c r="P46" s="0" t="n">
        <f aca="false">IF(OR(Personel!A50="",NOT(OR(Dashboard!$O$4="Tümü",Personel!C50=Dashboard!$O$4))),-1000,Personel!J50+ROW()/100000)</f>
        <v>-1000</v>
      </c>
      <c r="V46" s="0" t="n">
        <f aca="false">V45+(AND('İzin Kayıtları'!$I50="Onaylandı",'İzin Kayıtları'!$F50&lt;&gt;"",'İzin Kayıtları'!$F50&lt;=Listeler!$F$5,'İzin Kayıtları'!$G50&gt;=Listeler!$F$5,OR(Dashboard!$O$4="Tümü",'İzin Kayıtları'!$D50=Dashboard!$O$4))*1)</f>
        <v>0</v>
      </c>
    </row>
    <row r="47" customFormat="false" ht="15" hidden="false" customHeight="false" outlineLevel="0" collapsed="false">
      <c r="P47" s="0" t="n">
        <f aca="false">IF(OR(Personel!A51="",NOT(OR(Dashboard!$O$4="Tümü",Personel!C51=Dashboard!$O$4))),-1000,Personel!J51+ROW()/100000)</f>
        <v>-1000</v>
      </c>
      <c r="V47" s="0" t="n">
        <f aca="false">V46+(AND('İzin Kayıtları'!$I51="Onaylandı",'İzin Kayıtları'!$F51&lt;&gt;"",'İzin Kayıtları'!$F51&lt;=Listeler!$F$5,'İzin Kayıtları'!$G51&gt;=Listeler!$F$5,OR(Dashboard!$O$4="Tümü",'İzin Kayıtları'!$D51=Dashboard!$O$4))*1)</f>
        <v>0</v>
      </c>
    </row>
    <row r="48" customFormat="false" ht="15" hidden="false" customHeight="false" outlineLevel="0" collapsed="false">
      <c r="P48" s="0" t="n">
        <f aca="false">IF(OR(Personel!A52="",NOT(OR(Dashboard!$O$4="Tümü",Personel!C52=Dashboard!$O$4))),-1000,Personel!J52+ROW()/100000)</f>
        <v>-1000</v>
      </c>
      <c r="V48" s="0" t="n">
        <f aca="false">V47+(AND('İzin Kayıtları'!$I52="Onaylandı",'İzin Kayıtları'!$F52&lt;&gt;"",'İzin Kayıtları'!$F52&lt;=Listeler!$F$5,'İzin Kayıtları'!$G52&gt;=Listeler!$F$5,OR(Dashboard!$O$4="Tümü",'İzin Kayıtları'!$D52=Dashboard!$O$4))*1)</f>
        <v>0</v>
      </c>
    </row>
    <row r="49" customFormat="false" ht="15" hidden="false" customHeight="false" outlineLevel="0" collapsed="false">
      <c r="P49" s="0" t="n">
        <f aca="false">IF(OR(Personel!A53="",NOT(OR(Dashboard!$O$4="Tümü",Personel!C53=Dashboard!$O$4))),-1000,Personel!J53+ROW()/100000)</f>
        <v>-1000</v>
      </c>
      <c r="V49" s="0" t="n">
        <f aca="false">V48+(AND('İzin Kayıtları'!$I53="Onaylandı",'İzin Kayıtları'!$F53&lt;&gt;"",'İzin Kayıtları'!$F53&lt;=Listeler!$F$5,'İzin Kayıtları'!$G53&gt;=Listeler!$F$5,OR(Dashboard!$O$4="Tümü",'İzin Kayıtları'!$D53=Dashboard!$O$4))*1)</f>
        <v>0</v>
      </c>
    </row>
    <row r="50" customFormat="false" ht="15" hidden="false" customHeight="false" outlineLevel="0" collapsed="false">
      <c r="P50" s="0" t="n">
        <f aca="false">IF(OR(Personel!A54="",NOT(OR(Dashboard!$O$4="Tümü",Personel!C54=Dashboard!$O$4))),-1000,Personel!J54+ROW()/100000)</f>
        <v>-1000</v>
      </c>
      <c r="V50" s="0" t="n">
        <f aca="false">V49+(AND('İzin Kayıtları'!$I54="Onaylandı",'İzin Kayıtları'!$F54&lt;&gt;"",'İzin Kayıtları'!$F54&lt;=Listeler!$F$5,'İzin Kayıtları'!$G54&gt;=Listeler!$F$5,OR(Dashboard!$O$4="Tümü",'İzin Kayıtları'!$D54=Dashboard!$O$4))*1)</f>
        <v>0</v>
      </c>
    </row>
    <row r="51" customFormat="false" ht="15" hidden="false" customHeight="false" outlineLevel="0" collapsed="false">
      <c r="P51" s="0" t="n">
        <f aca="false">IF(OR(Personel!A55="",NOT(OR(Dashboard!$O$4="Tümü",Personel!C55=Dashboard!$O$4))),-1000,Personel!J55+ROW()/100000)</f>
        <v>-1000</v>
      </c>
      <c r="V51" s="0" t="n">
        <f aca="false">V50+(AND('İzin Kayıtları'!$I55="Onaylandı",'İzin Kayıtları'!$F55&lt;&gt;"",'İzin Kayıtları'!$F55&lt;=Listeler!$F$5,'İzin Kayıtları'!$G55&gt;=Listeler!$F$5,OR(Dashboard!$O$4="Tümü",'İzin Kayıtları'!$D55=Dashboard!$O$4))*1)</f>
        <v>0</v>
      </c>
    </row>
    <row r="52" customFormat="false" ht="15" hidden="false" customHeight="false" outlineLevel="0" collapsed="false">
      <c r="P52" s="0" t="n">
        <f aca="false">IF(OR(Personel!A56="",NOT(OR(Dashboard!$O$4="Tümü",Personel!C56=Dashboard!$O$4))),-1000,Personel!J56+ROW()/100000)</f>
        <v>-1000</v>
      </c>
      <c r="V52" s="0" t="n">
        <f aca="false">V51+(AND('İzin Kayıtları'!$I56="Onaylandı",'İzin Kayıtları'!$F56&lt;&gt;"",'İzin Kayıtları'!$F56&lt;=Listeler!$F$5,'İzin Kayıtları'!$G56&gt;=Listeler!$F$5,OR(Dashboard!$O$4="Tümü",'İzin Kayıtları'!$D56=Dashboard!$O$4))*1)</f>
        <v>0</v>
      </c>
    </row>
    <row r="53" customFormat="false" ht="15" hidden="false" customHeight="false" outlineLevel="0" collapsed="false">
      <c r="P53" s="0" t="n">
        <f aca="false">IF(OR(Personel!A57="",NOT(OR(Dashboard!$O$4="Tümü",Personel!C57=Dashboard!$O$4))),-1000,Personel!J57+ROW()/100000)</f>
        <v>-1000</v>
      </c>
      <c r="V53" s="0" t="n">
        <f aca="false">V52+(AND('İzin Kayıtları'!$I57="Onaylandı",'İzin Kayıtları'!$F57&lt;&gt;"",'İzin Kayıtları'!$F57&lt;=Listeler!$F$5,'İzin Kayıtları'!$G57&gt;=Listeler!$F$5,OR(Dashboard!$O$4="Tümü",'İzin Kayıtları'!$D57=Dashboard!$O$4))*1)</f>
        <v>0</v>
      </c>
    </row>
    <row r="54" customFormat="false" ht="15" hidden="false" customHeight="false" outlineLevel="0" collapsed="false">
      <c r="P54" s="0" t="n">
        <f aca="false">IF(OR(Personel!A58="",NOT(OR(Dashboard!$O$4="Tümü",Personel!C58=Dashboard!$O$4))),-1000,Personel!J58+ROW()/100000)</f>
        <v>-1000</v>
      </c>
      <c r="V54" s="0" t="n">
        <f aca="false">V53+(AND('İzin Kayıtları'!$I58="Onaylandı",'İzin Kayıtları'!$F58&lt;&gt;"",'İzin Kayıtları'!$F58&lt;=Listeler!$F$5,'İzin Kayıtları'!$G58&gt;=Listeler!$F$5,OR(Dashboard!$O$4="Tümü",'İzin Kayıtları'!$D58=Dashboard!$O$4))*1)</f>
        <v>0</v>
      </c>
    </row>
    <row r="55" customFormat="false" ht="15" hidden="false" customHeight="false" outlineLevel="0" collapsed="false">
      <c r="P55" s="0" t="n">
        <f aca="false">IF(OR(Personel!A59="",NOT(OR(Dashboard!$O$4="Tümü",Personel!C59=Dashboard!$O$4))),-1000,Personel!J59+ROW()/100000)</f>
        <v>-1000</v>
      </c>
      <c r="V55" s="0" t="n">
        <f aca="false">V54+(AND('İzin Kayıtları'!$I59="Onaylandı",'İzin Kayıtları'!$F59&lt;&gt;"",'İzin Kayıtları'!$F59&lt;=Listeler!$F$5,'İzin Kayıtları'!$G59&gt;=Listeler!$F$5,OR(Dashboard!$O$4="Tümü",'İzin Kayıtları'!$D59=Dashboard!$O$4))*1)</f>
        <v>0</v>
      </c>
    </row>
    <row r="56" customFormat="false" ht="15" hidden="false" customHeight="false" outlineLevel="0" collapsed="false">
      <c r="P56" s="0" t="n">
        <f aca="false">IF(OR(Personel!A60="",NOT(OR(Dashboard!$O$4="Tümü",Personel!C60=Dashboard!$O$4))),-1000,Personel!J60+ROW()/100000)</f>
        <v>-1000</v>
      </c>
      <c r="V56" s="0" t="n">
        <f aca="false">V55+(AND('İzin Kayıtları'!$I60="Onaylandı",'İzin Kayıtları'!$F60&lt;&gt;"",'İzin Kayıtları'!$F60&lt;=Listeler!$F$5,'İzin Kayıtları'!$G60&gt;=Listeler!$F$5,OR(Dashboard!$O$4="Tümü",'İzin Kayıtları'!$D60=Dashboard!$O$4))*1)</f>
        <v>0</v>
      </c>
    </row>
    <row r="57" customFormat="false" ht="15" hidden="false" customHeight="false" outlineLevel="0" collapsed="false">
      <c r="P57" s="0" t="n">
        <f aca="false">IF(OR(Personel!A61="",NOT(OR(Dashboard!$O$4="Tümü",Personel!C61=Dashboard!$O$4))),-1000,Personel!J61+ROW()/100000)</f>
        <v>-1000</v>
      </c>
      <c r="V57" s="0" t="n">
        <f aca="false">V56+(AND('İzin Kayıtları'!$I61="Onaylandı",'İzin Kayıtları'!$F61&lt;&gt;"",'İzin Kayıtları'!$F61&lt;=Listeler!$F$5,'İzin Kayıtları'!$G61&gt;=Listeler!$F$5,OR(Dashboard!$O$4="Tümü",'İzin Kayıtları'!$D61=Dashboard!$O$4))*1)</f>
        <v>0</v>
      </c>
    </row>
    <row r="58" customFormat="false" ht="15" hidden="false" customHeight="false" outlineLevel="0" collapsed="false">
      <c r="P58" s="0" t="n">
        <f aca="false">IF(OR(Personel!A62="",NOT(OR(Dashboard!$O$4="Tümü",Personel!C62=Dashboard!$O$4))),-1000,Personel!J62+ROW()/100000)</f>
        <v>-1000</v>
      </c>
      <c r="V58" s="0" t="n">
        <f aca="false">V57+(AND('İzin Kayıtları'!$I62="Onaylandı",'İzin Kayıtları'!$F62&lt;&gt;"",'İzin Kayıtları'!$F62&lt;=Listeler!$F$5,'İzin Kayıtları'!$G62&gt;=Listeler!$F$5,OR(Dashboard!$O$4="Tümü",'İzin Kayıtları'!$D62=Dashboard!$O$4))*1)</f>
        <v>0</v>
      </c>
    </row>
    <row r="59" customFormat="false" ht="15" hidden="false" customHeight="false" outlineLevel="0" collapsed="false">
      <c r="P59" s="0" t="n">
        <f aca="false">IF(OR(Personel!A63="",NOT(OR(Dashboard!$O$4="Tümü",Personel!C63=Dashboard!$O$4))),-1000,Personel!J63+ROW()/100000)</f>
        <v>-1000</v>
      </c>
      <c r="V59" s="0" t="n">
        <f aca="false">V58+(AND('İzin Kayıtları'!$I63="Onaylandı",'İzin Kayıtları'!$F63&lt;&gt;"",'İzin Kayıtları'!$F63&lt;=Listeler!$F$5,'İzin Kayıtları'!$G63&gt;=Listeler!$F$5,OR(Dashboard!$O$4="Tümü",'İzin Kayıtları'!$D63=Dashboard!$O$4))*1)</f>
        <v>0</v>
      </c>
    </row>
    <row r="60" customFormat="false" ht="15" hidden="false" customHeight="false" outlineLevel="0" collapsed="false">
      <c r="P60" s="0" t="n">
        <f aca="false">IF(OR(Personel!A64="",NOT(OR(Dashboard!$O$4="Tümü",Personel!C64=Dashboard!$O$4))),-1000,Personel!J64+ROW()/100000)</f>
        <v>-1000</v>
      </c>
      <c r="V60" s="0" t="n">
        <f aca="false">V59+(AND('İzin Kayıtları'!$I64="Onaylandı",'İzin Kayıtları'!$F64&lt;&gt;"",'İzin Kayıtları'!$F64&lt;=Listeler!$F$5,'İzin Kayıtları'!$G64&gt;=Listeler!$F$5,OR(Dashboard!$O$4="Tümü",'İzin Kayıtları'!$D64=Dashboard!$O$4))*1)</f>
        <v>1</v>
      </c>
    </row>
    <row r="61" customFormat="false" ht="15" hidden="false" customHeight="false" outlineLevel="0" collapsed="false">
      <c r="P61" s="0" t="n">
        <f aca="false">IF(OR(Personel!A65="",NOT(OR(Dashboard!$O$4="Tümü",Personel!C65=Dashboard!$O$4))),-1000,Personel!J65+ROW()/100000)</f>
        <v>-1000</v>
      </c>
      <c r="V61" s="0" t="n">
        <f aca="false">V60+(AND('İzin Kayıtları'!$I65="Onaylandı",'İzin Kayıtları'!$F65&lt;&gt;"",'İzin Kayıtları'!$F65&lt;=Listeler!$F$5,'İzin Kayıtları'!$G65&gt;=Listeler!$F$5,OR(Dashboard!$O$4="Tümü",'İzin Kayıtları'!$D65=Dashboard!$O$4))*1)</f>
        <v>2</v>
      </c>
    </row>
    <row r="62" customFormat="false" ht="15" hidden="false" customHeight="false" outlineLevel="0" collapsed="false">
      <c r="P62" s="0" t="n">
        <f aca="false">IF(OR(Personel!A66="",NOT(OR(Dashboard!$O$4="Tümü",Personel!C66=Dashboard!$O$4))),-1000,Personel!J66+ROW()/100000)</f>
        <v>-1000</v>
      </c>
      <c r="V62" s="0" t="n">
        <f aca="false">V61+(AND('İzin Kayıtları'!$I66="Onaylandı",'İzin Kayıtları'!$F66&lt;&gt;"",'İzin Kayıtları'!$F66&lt;=Listeler!$F$5,'İzin Kayıtları'!$G66&gt;=Listeler!$F$5,OR(Dashboard!$O$4="Tümü",'İzin Kayıtları'!$D66=Dashboard!$O$4))*1)</f>
        <v>2</v>
      </c>
    </row>
    <row r="63" customFormat="false" ht="15" hidden="false" customHeight="false" outlineLevel="0" collapsed="false">
      <c r="P63" s="0" t="n">
        <f aca="false">IF(OR(Personel!A67="",NOT(OR(Dashboard!$O$4="Tümü",Personel!C67=Dashboard!$O$4))),-1000,Personel!J67+ROW()/100000)</f>
        <v>-1000</v>
      </c>
      <c r="V63" s="0" t="n">
        <f aca="false">V62+(AND('İzin Kayıtları'!$I67="Onaylandı",'İzin Kayıtları'!$F67&lt;&gt;"",'İzin Kayıtları'!$F67&lt;=Listeler!$F$5,'İzin Kayıtları'!$G67&gt;=Listeler!$F$5,OR(Dashboard!$O$4="Tümü",'İzin Kayıtları'!$D67=Dashboard!$O$4))*1)</f>
        <v>2</v>
      </c>
    </row>
    <row r="64" customFormat="false" ht="15" hidden="false" customHeight="false" outlineLevel="0" collapsed="false">
      <c r="P64" s="0" t="n">
        <f aca="false">IF(OR(Personel!A68="",NOT(OR(Dashboard!$O$4="Tümü",Personel!C68=Dashboard!$O$4))),-1000,Personel!J68+ROW()/100000)</f>
        <v>-1000</v>
      </c>
      <c r="V64" s="0" t="n">
        <f aca="false">V63+(AND('İzin Kayıtları'!$I68="Onaylandı",'İzin Kayıtları'!$F68&lt;&gt;"",'İzin Kayıtları'!$F68&lt;=Listeler!$F$5,'İzin Kayıtları'!$G68&gt;=Listeler!$F$5,OR(Dashboard!$O$4="Tümü",'İzin Kayıtları'!$D68=Dashboard!$O$4))*1)</f>
        <v>2</v>
      </c>
    </row>
    <row r="65" customFormat="false" ht="15" hidden="false" customHeight="false" outlineLevel="0" collapsed="false">
      <c r="P65" s="0" t="n">
        <f aca="false">IF(OR(Personel!A69="",NOT(OR(Dashboard!$O$4="Tümü",Personel!C69=Dashboard!$O$4))),-1000,Personel!J69+ROW()/100000)</f>
        <v>-1000</v>
      </c>
      <c r="V65" s="0" t="n">
        <f aca="false">V64+(AND('İzin Kayıtları'!$I69="Onaylandı",'İzin Kayıtları'!$F69&lt;&gt;"",'İzin Kayıtları'!$F69&lt;=Listeler!$F$5,'İzin Kayıtları'!$G69&gt;=Listeler!$F$5,OR(Dashboard!$O$4="Tümü",'İzin Kayıtları'!$D69=Dashboard!$O$4))*1)</f>
        <v>2</v>
      </c>
    </row>
    <row r="66" customFormat="false" ht="15" hidden="false" customHeight="false" outlineLevel="0" collapsed="false">
      <c r="P66" s="0" t="n">
        <f aca="false">IF(OR(Personel!A70="",NOT(OR(Dashboard!$O$4="Tümü",Personel!C70=Dashboard!$O$4))),-1000,Personel!J70+ROW()/100000)</f>
        <v>-1000</v>
      </c>
      <c r="V66" s="0" t="n">
        <f aca="false">V65+(AND('İzin Kayıtları'!$I70="Onaylandı",'İzin Kayıtları'!$F70&lt;&gt;"",'İzin Kayıtları'!$F70&lt;=Listeler!$F$5,'İzin Kayıtları'!$G70&gt;=Listeler!$F$5,OR(Dashboard!$O$4="Tümü",'İzin Kayıtları'!$D70=Dashboard!$O$4))*1)</f>
        <v>2</v>
      </c>
    </row>
    <row r="67" customFormat="false" ht="15" hidden="false" customHeight="false" outlineLevel="0" collapsed="false">
      <c r="P67" s="0" t="n">
        <f aca="false">IF(OR(Personel!A71="",NOT(OR(Dashboard!$O$4="Tümü",Personel!C71=Dashboard!$O$4))),-1000,Personel!J71+ROW()/100000)</f>
        <v>-1000</v>
      </c>
      <c r="V67" s="0" t="n">
        <f aca="false">V66+(AND('İzin Kayıtları'!$I71="Onaylandı",'İzin Kayıtları'!$F71&lt;&gt;"",'İzin Kayıtları'!$F71&lt;=Listeler!$F$5,'İzin Kayıtları'!$G71&gt;=Listeler!$F$5,OR(Dashboard!$O$4="Tümü",'İzin Kayıtları'!$D71=Dashboard!$O$4))*1)</f>
        <v>2</v>
      </c>
    </row>
    <row r="68" customFormat="false" ht="15" hidden="false" customHeight="false" outlineLevel="0" collapsed="false">
      <c r="P68" s="0" t="n">
        <f aca="false">IF(OR(Personel!A72="",NOT(OR(Dashboard!$O$4="Tümü",Personel!C72=Dashboard!$O$4))),-1000,Personel!J72+ROW()/100000)</f>
        <v>-1000</v>
      </c>
      <c r="V68" s="0" t="n">
        <f aca="false">V67+(AND('İzin Kayıtları'!$I72="Onaylandı",'İzin Kayıtları'!$F72&lt;&gt;"",'İzin Kayıtları'!$F72&lt;=Listeler!$F$5,'İzin Kayıtları'!$G72&gt;=Listeler!$F$5,OR(Dashboard!$O$4="Tümü",'İzin Kayıtları'!$D72=Dashboard!$O$4))*1)</f>
        <v>2</v>
      </c>
    </row>
    <row r="69" customFormat="false" ht="15" hidden="false" customHeight="false" outlineLevel="0" collapsed="false">
      <c r="P69" s="0" t="n">
        <f aca="false">IF(OR(Personel!A73="",NOT(OR(Dashboard!$O$4="Tümü",Personel!C73=Dashboard!$O$4))),-1000,Personel!J73+ROW()/100000)</f>
        <v>-1000</v>
      </c>
      <c r="V69" s="0" t="n">
        <f aca="false">V68+(AND('İzin Kayıtları'!$I73="Onaylandı",'İzin Kayıtları'!$F73&lt;&gt;"",'İzin Kayıtları'!$F73&lt;=Listeler!$F$5,'İzin Kayıtları'!$G73&gt;=Listeler!$F$5,OR(Dashboard!$O$4="Tümü",'İzin Kayıtları'!$D73=Dashboard!$O$4))*1)</f>
        <v>2</v>
      </c>
    </row>
    <row r="70" customFormat="false" ht="15" hidden="false" customHeight="false" outlineLevel="0" collapsed="false">
      <c r="P70" s="0" t="n">
        <f aca="false">IF(OR(Personel!A74="",NOT(OR(Dashboard!$O$4="Tümü",Personel!C74=Dashboard!$O$4))),-1000,Personel!J74+ROW()/100000)</f>
        <v>-1000</v>
      </c>
      <c r="V70" s="0" t="n">
        <f aca="false">V69+(AND('İzin Kayıtları'!$I74="Onaylandı",'İzin Kayıtları'!$F74&lt;&gt;"",'İzin Kayıtları'!$F74&lt;=Listeler!$F$5,'İzin Kayıtları'!$G74&gt;=Listeler!$F$5,OR(Dashboard!$O$4="Tümü",'İzin Kayıtları'!$D74=Dashboard!$O$4))*1)</f>
        <v>2</v>
      </c>
    </row>
    <row r="71" customFormat="false" ht="15" hidden="false" customHeight="false" outlineLevel="0" collapsed="false">
      <c r="P71" s="0" t="n">
        <f aca="false">IF(OR(Personel!A75="",NOT(OR(Dashboard!$O$4="Tümü",Personel!C75=Dashboard!$O$4))),-1000,Personel!J75+ROW()/100000)</f>
        <v>-1000</v>
      </c>
      <c r="V71" s="0" t="n">
        <f aca="false">V70+(AND('İzin Kayıtları'!$I75="Onaylandı",'İzin Kayıtları'!$F75&lt;&gt;"",'İzin Kayıtları'!$F75&lt;=Listeler!$F$5,'İzin Kayıtları'!$G75&gt;=Listeler!$F$5,OR(Dashboard!$O$4="Tümü",'İzin Kayıtları'!$D75=Dashboard!$O$4))*1)</f>
        <v>2</v>
      </c>
    </row>
    <row r="72" customFormat="false" ht="15" hidden="false" customHeight="false" outlineLevel="0" collapsed="false">
      <c r="P72" s="0" t="n">
        <f aca="false">IF(OR(Personel!A76="",NOT(OR(Dashboard!$O$4="Tümü",Personel!C76=Dashboard!$O$4))),-1000,Personel!J76+ROW()/100000)</f>
        <v>-1000</v>
      </c>
      <c r="V72" s="0" t="n">
        <f aca="false">V71+(AND('İzin Kayıtları'!$I76="Onaylandı",'İzin Kayıtları'!$F76&lt;&gt;"",'İzin Kayıtları'!$F76&lt;=Listeler!$F$5,'İzin Kayıtları'!$G76&gt;=Listeler!$F$5,OR(Dashboard!$O$4="Tümü",'İzin Kayıtları'!$D76=Dashboard!$O$4))*1)</f>
        <v>2</v>
      </c>
    </row>
    <row r="73" customFormat="false" ht="15" hidden="false" customHeight="false" outlineLevel="0" collapsed="false">
      <c r="P73" s="0" t="n">
        <f aca="false">IF(OR(Personel!A77="",NOT(OR(Dashboard!$O$4="Tümü",Personel!C77=Dashboard!$O$4))),-1000,Personel!J77+ROW()/100000)</f>
        <v>-1000</v>
      </c>
      <c r="V73" s="0" t="n">
        <f aca="false">V72+(AND('İzin Kayıtları'!$I77="Onaylandı",'İzin Kayıtları'!$F77&lt;&gt;"",'İzin Kayıtları'!$F77&lt;=Listeler!$F$5,'İzin Kayıtları'!$G77&gt;=Listeler!$F$5,OR(Dashboard!$O$4="Tümü",'İzin Kayıtları'!$D77=Dashboard!$O$4))*1)</f>
        <v>2</v>
      </c>
    </row>
    <row r="74" customFormat="false" ht="15" hidden="false" customHeight="false" outlineLevel="0" collapsed="false">
      <c r="P74" s="0" t="n">
        <f aca="false">IF(OR(Personel!A78="",NOT(OR(Dashboard!$O$4="Tümü",Personel!C78=Dashboard!$O$4))),-1000,Personel!J78+ROW()/100000)</f>
        <v>-1000</v>
      </c>
      <c r="V74" s="0" t="n">
        <f aca="false">V73+(AND('İzin Kayıtları'!$I78="Onaylandı",'İzin Kayıtları'!$F78&lt;&gt;"",'İzin Kayıtları'!$F78&lt;=Listeler!$F$5,'İzin Kayıtları'!$G78&gt;=Listeler!$F$5,OR(Dashboard!$O$4="Tümü",'İzin Kayıtları'!$D78=Dashboard!$O$4))*1)</f>
        <v>2</v>
      </c>
    </row>
    <row r="75" customFormat="false" ht="15" hidden="false" customHeight="false" outlineLevel="0" collapsed="false">
      <c r="P75" s="0" t="n">
        <f aca="false">IF(OR(Personel!A79="",NOT(OR(Dashboard!$O$4="Tümü",Personel!C79=Dashboard!$O$4))),-1000,Personel!J79+ROW()/100000)</f>
        <v>-1000</v>
      </c>
      <c r="V75" s="0" t="n">
        <f aca="false">V74+(AND('İzin Kayıtları'!$I79="Onaylandı",'İzin Kayıtları'!$F79&lt;&gt;"",'İzin Kayıtları'!$F79&lt;=Listeler!$F$5,'İzin Kayıtları'!$G79&gt;=Listeler!$F$5,OR(Dashboard!$O$4="Tümü",'İzin Kayıtları'!$D79=Dashboard!$O$4))*1)</f>
        <v>2</v>
      </c>
    </row>
    <row r="76" customFormat="false" ht="15" hidden="false" customHeight="false" outlineLevel="0" collapsed="false">
      <c r="P76" s="0" t="n">
        <f aca="false">IF(OR(Personel!A80="",NOT(OR(Dashboard!$O$4="Tümü",Personel!C80=Dashboard!$O$4))),-1000,Personel!J80+ROW()/100000)</f>
        <v>-1000</v>
      </c>
      <c r="V76" s="0" t="n">
        <f aca="false">V75+(AND('İzin Kayıtları'!$I80="Onaylandı",'İzin Kayıtları'!$F80&lt;&gt;"",'İzin Kayıtları'!$F80&lt;=Listeler!$F$5,'İzin Kayıtları'!$G80&gt;=Listeler!$F$5,OR(Dashboard!$O$4="Tümü",'İzin Kayıtları'!$D80=Dashboard!$O$4))*1)</f>
        <v>2</v>
      </c>
    </row>
    <row r="77" customFormat="false" ht="15" hidden="false" customHeight="false" outlineLevel="0" collapsed="false">
      <c r="P77" s="0" t="n">
        <f aca="false">IF(OR(Personel!A81="",NOT(OR(Dashboard!$O$4="Tümü",Personel!C81=Dashboard!$O$4))),-1000,Personel!J81+ROW()/100000)</f>
        <v>-1000</v>
      </c>
      <c r="V77" s="0" t="n">
        <f aca="false">V76+(AND('İzin Kayıtları'!$I81="Onaylandı",'İzin Kayıtları'!$F81&lt;&gt;"",'İzin Kayıtları'!$F81&lt;=Listeler!$F$5,'İzin Kayıtları'!$G81&gt;=Listeler!$F$5,OR(Dashboard!$O$4="Tümü",'İzin Kayıtları'!$D81=Dashboard!$O$4))*1)</f>
        <v>2</v>
      </c>
    </row>
    <row r="78" customFormat="false" ht="15" hidden="false" customHeight="false" outlineLevel="0" collapsed="false">
      <c r="P78" s="0" t="n">
        <f aca="false">IF(OR(Personel!A82="",NOT(OR(Dashboard!$O$4="Tümü",Personel!C82=Dashboard!$O$4))),-1000,Personel!J82+ROW()/100000)</f>
        <v>-1000</v>
      </c>
      <c r="V78" s="0" t="n">
        <f aca="false">V77+(AND('İzin Kayıtları'!$I82="Onaylandı",'İzin Kayıtları'!$F82&lt;&gt;"",'İzin Kayıtları'!$F82&lt;=Listeler!$F$5,'İzin Kayıtları'!$G82&gt;=Listeler!$F$5,OR(Dashboard!$O$4="Tümü",'İzin Kayıtları'!$D82=Dashboard!$O$4))*1)</f>
        <v>2</v>
      </c>
    </row>
    <row r="79" customFormat="false" ht="15" hidden="false" customHeight="false" outlineLevel="0" collapsed="false">
      <c r="P79" s="0" t="n">
        <f aca="false">IF(OR(Personel!A83="",NOT(OR(Dashboard!$O$4="Tümü",Personel!C83=Dashboard!$O$4))),-1000,Personel!J83+ROW()/100000)</f>
        <v>-1000</v>
      </c>
      <c r="V79" s="0" t="n">
        <f aca="false">V78+(AND('İzin Kayıtları'!$I83="Onaylandı",'İzin Kayıtları'!$F83&lt;&gt;"",'İzin Kayıtları'!$F83&lt;=Listeler!$F$5,'İzin Kayıtları'!$G83&gt;=Listeler!$F$5,OR(Dashboard!$O$4="Tümü",'İzin Kayıtları'!$D83=Dashboard!$O$4))*1)</f>
        <v>2</v>
      </c>
    </row>
    <row r="80" customFormat="false" ht="15" hidden="false" customHeight="false" outlineLevel="0" collapsed="false">
      <c r="P80" s="0" t="n">
        <f aca="false">IF(OR(Personel!A84="",NOT(OR(Dashboard!$O$4="Tümü",Personel!C84=Dashboard!$O$4))),-1000,Personel!J84+ROW()/100000)</f>
        <v>-1000</v>
      </c>
      <c r="V80" s="0" t="n">
        <f aca="false">V79+(AND('İzin Kayıtları'!$I84="Onaylandı",'İzin Kayıtları'!$F84&lt;&gt;"",'İzin Kayıtları'!$F84&lt;=Listeler!$F$5,'İzin Kayıtları'!$G84&gt;=Listeler!$F$5,OR(Dashboard!$O$4="Tümü",'İzin Kayıtları'!$D84=Dashboard!$O$4))*1)</f>
        <v>2</v>
      </c>
    </row>
    <row r="81" customFormat="false" ht="15" hidden="false" customHeight="false" outlineLevel="0" collapsed="false">
      <c r="P81" s="0" t="n">
        <f aca="false">IF(OR(Personel!A85="",NOT(OR(Dashboard!$O$4="Tümü",Personel!C85=Dashboard!$O$4))),-1000,Personel!J85+ROW()/100000)</f>
        <v>-1000</v>
      </c>
      <c r="V81" s="0" t="n">
        <f aca="false">V80+(AND('İzin Kayıtları'!$I85="Onaylandı",'İzin Kayıtları'!$F85&lt;&gt;"",'İzin Kayıtları'!$F85&lt;=Listeler!$F$5,'İzin Kayıtları'!$G85&gt;=Listeler!$F$5,OR(Dashboard!$O$4="Tümü",'İzin Kayıtları'!$D85=Dashboard!$O$4))*1)</f>
        <v>2</v>
      </c>
    </row>
    <row r="82" customFormat="false" ht="15" hidden="false" customHeight="false" outlineLevel="0" collapsed="false">
      <c r="V82" s="0" t="n">
        <f aca="false">V81+(AND('İzin Kayıtları'!$I86="Onaylandı",'İzin Kayıtları'!$F86&lt;&gt;"",'İzin Kayıtları'!$F86&lt;=Listeler!$F$5,'İzin Kayıtları'!$G86&gt;=Listeler!$F$5,OR(Dashboard!$O$4="Tümü",'İzin Kayıtları'!$D86=Dashboard!$O$4))*1)</f>
        <v>2</v>
      </c>
    </row>
    <row r="83" customFormat="false" ht="15" hidden="false" customHeight="false" outlineLevel="0" collapsed="false">
      <c r="V83" s="0" t="n">
        <f aca="false">V82+(AND('İzin Kayıtları'!$I87="Onaylandı",'İzin Kayıtları'!$F87&lt;&gt;"",'İzin Kayıtları'!$F87&lt;=Listeler!$F$5,'İzin Kayıtları'!$G87&gt;=Listeler!$F$5,OR(Dashboard!$O$4="Tümü",'İzin Kayıtları'!$D87=Dashboard!$O$4))*1)</f>
        <v>2</v>
      </c>
    </row>
    <row r="84" customFormat="false" ht="15" hidden="false" customHeight="false" outlineLevel="0" collapsed="false">
      <c r="V84" s="0" t="n">
        <f aca="false">V83+(AND('İzin Kayıtları'!$I88="Onaylandı",'İzin Kayıtları'!$F88&lt;&gt;"",'İzin Kayıtları'!$F88&lt;=Listeler!$F$5,'İzin Kayıtları'!$G88&gt;=Listeler!$F$5,OR(Dashboard!$O$4="Tümü",'İzin Kayıtları'!$D88=Dashboard!$O$4))*1)</f>
        <v>2</v>
      </c>
    </row>
    <row r="85" customFormat="false" ht="15" hidden="false" customHeight="false" outlineLevel="0" collapsed="false">
      <c r="V85" s="0" t="n">
        <f aca="false">V84+(AND('İzin Kayıtları'!$I89="Onaylandı",'İzin Kayıtları'!$F89&lt;&gt;"",'İzin Kayıtları'!$F89&lt;=Listeler!$F$5,'İzin Kayıtları'!$G89&gt;=Listeler!$F$5,OR(Dashboard!$O$4="Tümü",'İzin Kayıtları'!$D89=Dashboard!$O$4))*1)</f>
        <v>2</v>
      </c>
    </row>
    <row r="86" customFormat="false" ht="15" hidden="false" customHeight="false" outlineLevel="0" collapsed="false">
      <c r="V86" s="0" t="n">
        <f aca="false">V85+(AND('İzin Kayıtları'!$I90="Onaylandı",'İzin Kayıtları'!$F90&lt;&gt;"",'İzin Kayıtları'!$F90&lt;=Listeler!$F$5,'İzin Kayıtları'!$G90&gt;=Listeler!$F$5,OR(Dashboard!$O$4="Tümü",'İzin Kayıtları'!$D90=Dashboard!$O$4))*1)</f>
        <v>2</v>
      </c>
    </row>
    <row r="87" customFormat="false" ht="15" hidden="false" customHeight="false" outlineLevel="0" collapsed="false">
      <c r="V87" s="0" t="n">
        <f aca="false">V86+(AND('İzin Kayıtları'!$I91="Onaylandı",'İzin Kayıtları'!$F91&lt;&gt;"",'İzin Kayıtları'!$F91&lt;=Listeler!$F$5,'İzin Kayıtları'!$G91&gt;=Listeler!$F$5,OR(Dashboard!$O$4="Tümü",'İzin Kayıtları'!$D91=Dashboard!$O$4))*1)</f>
        <v>2</v>
      </c>
    </row>
    <row r="88" customFormat="false" ht="15" hidden="false" customHeight="false" outlineLevel="0" collapsed="false">
      <c r="V88" s="0" t="n">
        <f aca="false">V87+(AND('İzin Kayıtları'!$I92="Onaylandı",'İzin Kayıtları'!$F92&lt;&gt;"",'İzin Kayıtları'!$F92&lt;=Listeler!$F$5,'İzin Kayıtları'!$G92&gt;=Listeler!$F$5,OR(Dashboard!$O$4="Tümü",'İzin Kayıtları'!$D92=Dashboard!$O$4))*1)</f>
        <v>2</v>
      </c>
    </row>
    <row r="89" customFormat="false" ht="15" hidden="false" customHeight="false" outlineLevel="0" collapsed="false">
      <c r="V89" s="0" t="n">
        <f aca="false">V88+(AND('İzin Kayıtları'!$I93="Onaylandı",'İzin Kayıtları'!$F93&lt;&gt;"",'İzin Kayıtları'!$F93&lt;=Listeler!$F$5,'İzin Kayıtları'!$G93&gt;=Listeler!$F$5,OR(Dashboard!$O$4="Tümü",'İzin Kayıtları'!$D93=Dashboard!$O$4))*1)</f>
        <v>2</v>
      </c>
    </row>
    <row r="90" customFormat="false" ht="15" hidden="false" customHeight="false" outlineLevel="0" collapsed="false">
      <c r="V90" s="0" t="n">
        <f aca="false">V89+(AND('İzin Kayıtları'!$I94="Onaylandı",'İzin Kayıtları'!$F94&lt;&gt;"",'İzin Kayıtları'!$F94&lt;=Listeler!$F$5,'İzin Kayıtları'!$G94&gt;=Listeler!$F$5,OR(Dashboard!$O$4="Tümü",'İzin Kayıtları'!$D94=Dashboard!$O$4))*1)</f>
        <v>2</v>
      </c>
    </row>
    <row r="91" customFormat="false" ht="15" hidden="false" customHeight="false" outlineLevel="0" collapsed="false">
      <c r="V91" s="0" t="n">
        <f aca="false">V90+(AND('İzin Kayıtları'!$I95="Onaylandı",'İzin Kayıtları'!$F95&lt;&gt;"",'İzin Kayıtları'!$F95&lt;=Listeler!$F$5,'İzin Kayıtları'!$G95&gt;=Listeler!$F$5,OR(Dashboard!$O$4="Tümü",'İzin Kayıtları'!$D95=Dashboard!$O$4))*1)</f>
        <v>2</v>
      </c>
    </row>
    <row r="92" customFormat="false" ht="15" hidden="false" customHeight="false" outlineLevel="0" collapsed="false">
      <c r="V92" s="0" t="n">
        <f aca="false">V91+(AND('İzin Kayıtları'!$I96="Onaylandı",'İzin Kayıtları'!$F96&lt;&gt;"",'İzin Kayıtları'!$F96&lt;=Listeler!$F$5,'İzin Kayıtları'!$G96&gt;=Listeler!$F$5,OR(Dashboard!$O$4="Tümü",'İzin Kayıtları'!$D96=Dashboard!$O$4))*1)</f>
        <v>2</v>
      </c>
    </row>
    <row r="93" customFormat="false" ht="15" hidden="false" customHeight="false" outlineLevel="0" collapsed="false">
      <c r="V93" s="0" t="n">
        <f aca="false">V92+(AND('İzin Kayıtları'!$I97="Onaylandı",'İzin Kayıtları'!$F97&lt;&gt;"",'İzin Kayıtları'!$F97&lt;=Listeler!$F$5,'İzin Kayıtları'!$G97&gt;=Listeler!$F$5,OR(Dashboard!$O$4="Tümü",'İzin Kayıtları'!$D97=Dashboard!$O$4))*1)</f>
        <v>2</v>
      </c>
    </row>
    <row r="94" customFormat="false" ht="15" hidden="false" customHeight="false" outlineLevel="0" collapsed="false">
      <c r="V94" s="0" t="n">
        <f aca="false">V93+(AND('İzin Kayıtları'!$I98="Onaylandı",'İzin Kayıtları'!$F98&lt;&gt;"",'İzin Kayıtları'!$F98&lt;=Listeler!$F$5,'İzin Kayıtları'!$G98&gt;=Listeler!$F$5,OR(Dashboard!$O$4="Tümü",'İzin Kayıtları'!$D98=Dashboard!$O$4))*1)</f>
        <v>2</v>
      </c>
    </row>
    <row r="95" customFormat="false" ht="15" hidden="false" customHeight="false" outlineLevel="0" collapsed="false">
      <c r="V95" s="0" t="n">
        <f aca="false">V94+(AND('İzin Kayıtları'!$I99="Onaylandı",'İzin Kayıtları'!$F99&lt;&gt;"",'İzin Kayıtları'!$F99&lt;=Listeler!$F$5,'İzin Kayıtları'!$G99&gt;=Listeler!$F$5,OR(Dashboard!$O$4="Tümü",'İzin Kayıtları'!$D99=Dashboard!$O$4))*1)</f>
        <v>2</v>
      </c>
    </row>
    <row r="96" customFormat="false" ht="15" hidden="false" customHeight="false" outlineLevel="0" collapsed="false">
      <c r="V96" s="0" t="n">
        <f aca="false">V95+(AND('İzin Kayıtları'!$I100="Onaylandı",'İzin Kayıtları'!$F100&lt;&gt;"",'İzin Kayıtları'!$F100&lt;=Listeler!$F$5,'İzin Kayıtları'!$G100&gt;=Listeler!$F$5,OR(Dashboard!$O$4="Tümü",'İzin Kayıtları'!$D100=Dashboard!$O$4))*1)</f>
        <v>2</v>
      </c>
    </row>
    <row r="97" customFormat="false" ht="15" hidden="false" customHeight="false" outlineLevel="0" collapsed="false">
      <c r="V97" s="0" t="n">
        <f aca="false">V96+(AND('İzin Kayıtları'!$I101="Onaylandı",'İzin Kayıtları'!$F101&lt;&gt;"",'İzin Kayıtları'!$F101&lt;=Listeler!$F$5,'İzin Kayıtları'!$G101&gt;=Listeler!$F$5,OR(Dashboard!$O$4="Tümü",'İzin Kayıtları'!$D101=Dashboard!$O$4))*1)</f>
        <v>2</v>
      </c>
    </row>
    <row r="98" customFormat="false" ht="15" hidden="false" customHeight="false" outlineLevel="0" collapsed="false">
      <c r="V98" s="0" t="n">
        <f aca="false">V97+(AND('İzin Kayıtları'!$I102="Onaylandı",'İzin Kayıtları'!$F102&lt;&gt;"",'İzin Kayıtları'!$F102&lt;=Listeler!$F$5,'İzin Kayıtları'!$G102&gt;=Listeler!$F$5,OR(Dashboard!$O$4="Tümü",'İzin Kayıtları'!$D102=Dashboard!$O$4))*1)</f>
        <v>2</v>
      </c>
    </row>
    <row r="99" customFormat="false" ht="15" hidden="false" customHeight="false" outlineLevel="0" collapsed="false">
      <c r="V99" s="0" t="n">
        <f aca="false">V98+(AND('İzin Kayıtları'!$I103="Onaylandı",'İzin Kayıtları'!$F103&lt;&gt;"",'İzin Kayıtları'!$F103&lt;=Listeler!$F$5,'İzin Kayıtları'!$G103&gt;=Listeler!$F$5,OR(Dashboard!$O$4="Tümü",'İzin Kayıtları'!$D103=Dashboard!$O$4))*1)</f>
        <v>2</v>
      </c>
    </row>
    <row r="100" customFormat="false" ht="15" hidden="false" customHeight="false" outlineLevel="0" collapsed="false">
      <c r="V100" s="0" t="n">
        <f aca="false">V99+(AND('İzin Kayıtları'!$I104="Onaylandı",'İzin Kayıtları'!$F104&lt;&gt;"",'İzin Kayıtları'!$F104&lt;=Listeler!$F$5,'İzin Kayıtları'!$G104&gt;=Listeler!$F$5,OR(Dashboard!$O$4="Tümü",'İzin Kayıtları'!$D104=Dashboard!$O$4))*1)</f>
        <v>2</v>
      </c>
    </row>
    <row r="101" customFormat="false" ht="15" hidden="false" customHeight="false" outlineLevel="0" collapsed="false">
      <c r="V101" s="0" t="n">
        <f aca="false">V100+(AND('İzin Kayıtları'!$I105="Onaylandı",'İzin Kayıtları'!$F105&lt;&gt;"",'İzin Kayıtları'!$F105&lt;=Listeler!$F$5,'İzin Kayıtları'!$G105&gt;=Listeler!$F$5,OR(Dashboard!$O$4="Tümü",'İzin Kayıtları'!$D105=Dashboard!$O$4))*1)</f>
        <v>2</v>
      </c>
    </row>
    <row r="102" customFormat="false" ht="15" hidden="false" customHeight="false" outlineLevel="0" collapsed="false">
      <c r="V102" s="0" t="n">
        <f aca="false">V101+(AND('İzin Kayıtları'!$I106="Onaylandı",'İzin Kayıtları'!$F106&lt;&gt;"",'İzin Kayıtları'!$F106&lt;=Listeler!$F$5,'İzin Kayıtları'!$G106&gt;=Listeler!$F$5,OR(Dashboard!$O$4="Tümü",'İzin Kayıtları'!$D106=Dashboard!$O$4))*1)</f>
        <v>2</v>
      </c>
    </row>
    <row r="103" customFormat="false" ht="15" hidden="false" customHeight="false" outlineLevel="0" collapsed="false">
      <c r="V103" s="0" t="n">
        <f aca="false">V102+(AND('İzin Kayıtları'!$I107="Onaylandı",'İzin Kayıtları'!$F107&lt;&gt;"",'İzin Kayıtları'!$F107&lt;=Listeler!$F$5,'İzin Kayıtları'!$G107&gt;=Listeler!$F$5,OR(Dashboard!$O$4="Tümü",'İzin Kayıtları'!$D107=Dashboard!$O$4))*1)</f>
        <v>2</v>
      </c>
    </row>
    <row r="104" customFormat="false" ht="15" hidden="false" customHeight="false" outlineLevel="0" collapsed="false">
      <c r="V104" s="0" t="n">
        <f aca="false">V103+(AND('İzin Kayıtları'!$I108="Onaylandı",'İzin Kayıtları'!$F108&lt;&gt;"",'İzin Kayıtları'!$F108&lt;=Listeler!$F$5,'İzin Kayıtları'!$G108&gt;=Listeler!$F$5,OR(Dashboard!$O$4="Tümü",'İzin Kayıtları'!$D108=Dashboard!$O$4))*1)</f>
        <v>2</v>
      </c>
    </row>
    <row r="105" customFormat="false" ht="15" hidden="false" customHeight="false" outlineLevel="0" collapsed="false">
      <c r="V105" s="0" t="n">
        <f aca="false">V104+(AND('İzin Kayıtları'!$I109="Onaylandı",'İzin Kayıtları'!$F109&lt;&gt;"",'İzin Kayıtları'!$F109&lt;=Listeler!$F$5,'İzin Kayıtları'!$G109&gt;=Listeler!$F$5,OR(Dashboard!$O$4="Tümü",'İzin Kayıtları'!$D109=Dashboard!$O$4))*1)</f>
        <v>2</v>
      </c>
    </row>
    <row r="106" customFormat="false" ht="15" hidden="false" customHeight="false" outlineLevel="0" collapsed="false">
      <c r="V106" s="0" t="n">
        <f aca="false">V105+(AND('İzin Kayıtları'!$I110="Onaylandı",'İzin Kayıtları'!$F110&lt;&gt;"",'İzin Kayıtları'!$F110&lt;=Listeler!$F$5,'İzin Kayıtları'!$G110&gt;=Listeler!$F$5,OR(Dashboard!$O$4="Tümü",'İzin Kayıtları'!$D110=Dashboard!$O$4))*1)</f>
        <v>2</v>
      </c>
    </row>
    <row r="107" customFormat="false" ht="15" hidden="false" customHeight="false" outlineLevel="0" collapsed="false">
      <c r="V107" s="0" t="n">
        <f aca="false">V106+(AND('İzin Kayıtları'!$I111="Onaylandı",'İzin Kayıtları'!$F111&lt;&gt;"",'İzin Kayıtları'!$F111&lt;=Listeler!$F$5,'İzin Kayıtları'!$G111&gt;=Listeler!$F$5,OR(Dashboard!$O$4="Tümü",'İzin Kayıtları'!$D111=Dashboard!$O$4))*1)</f>
        <v>2</v>
      </c>
    </row>
    <row r="108" customFormat="false" ht="15" hidden="false" customHeight="false" outlineLevel="0" collapsed="false">
      <c r="V108" s="0" t="n">
        <f aca="false">V107+(AND('İzin Kayıtları'!$I112="Onaylandı",'İzin Kayıtları'!$F112&lt;&gt;"",'İzin Kayıtları'!$F112&lt;=Listeler!$F$5,'İzin Kayıtları'!$G112&gt;=Listeler!$F$5,OR(Dashboard!$O$4="Tümü",'İzin Kayıtları'!$D112=Dashboard!$O$4))*1)</f>
        <v>2</v>
      </c>
    </row>
    <row r="109" customFormat="false" ht="15" hidden="false" customHeight="false" outlineLevel="0" collapsed="false">
      <c r="V109" s="0" t="n">
        <f aca="false">V108+(AND('İzin Kayıtları'!$I113="Onaylandı",'İzin Kayıtları'!$F113&lt;&gt;"",'İzin Kayıtları'!$F113&lt;=Listeler!$F$5,'İzin Kayıtları'!$G113&gt;=Listeler!$F$5,OR(Dashboard!$O$4="Tümü",'İzin Kayıtları'!$D113=Dashboard!$O$4))*1)</f>
        <v>2</v>
      </c>
    </row>
    <row r="110" customFormat="false" ht="15" hidden="false" customHeight="false" outlineLevel="0" collapsed="false">
      <c r="V110" s="0" t="n">
        <f aca="false">V109+(AND('İzin Kayıtları'!$I114="Onaylandı",'İzin Kayıtları'!$F114&lt;&gt;"",'İzin Kayıtları'!$F114&lt;=Listeler!$F$5,'İzin Kayıtları'!$G114&gt;=Listeler!$F$5,OR(Dashboard!$O$4="Tümü",'İzin Kayıtları'!$D114=Dashboard!$O$4))*1)</f>
        <v>2</v>
      </c>
    </row>
    <row r="111" customFormat="false" ht="15" hidden="false" customHeight="false" outlineLevel="0" collapsed="false">
      <c r="V111" s="0" t="n">
        <f aca="false">V110+(AND('İzin Kayıtları'!$I115="Onaylandı",'İzin Kayıtları'!$F115&lt;&gt;"",'İzin Kayıtları'!$F115&lt;=Listeler!$F$5,'İzin Kayıtları'!$G115&gt;=Listeler!$F$5,OR(Dashboard!$O$4="Tümü",'İzin Kayıtları'!$D115=Dashboard!$O$4))*1)</f>
        <v>2</v>
      </c>
    </row>
    <row r="112" customFormat="false" ht="15" hidden="false" customHeight="false" outlineLevel="0" collapsed="false">
      <c r="V112" s="0" t="n">
        <f aca="false">V111+(AND('İzin Kayıtları'!$I116="Onaylandı",'İzin Kayıtları'!$F116&lt;&gt;"",'İzin Kayıtları'!$F116&lt;=Listeler!$F$5,'İzin Kayıtları'!$G116&gt;=Listeler!$F$5,OR(Dashboard!$O$4="Tümü",'İzin Kayıtları'!$D116=Dashboard!$O$4))*1)</f>
        <v>2</v>
      </c>
    </row>
    <row r="113" customFormat="false" ht="15" hidden="false" customHeight="false" outlineLevel="0" collapsed="false">
      <c r="V113" s="0" t="n">
        <f aca="false">V112+(AND('İzin Kayıtları'!$I117="Onaylandı",'İzin Kayıtları'!$F117&lt;&gt;"",'İzin Kayıtları'!$F117&lt;=Listeler!$F$5,'İzin Kayıtları'!$G117&gt;=Listeler!$F$5,OR(Dashboard!$O$4="Tümü",'İzin Kayıtları'!$D117=Dashboard!$O$4))*1)</f>
        <v>2</v>
      </c>
    </row>
    <row r="114" customFormat="false" ht="15" hidden="false" customHeight="false" outlineLevel="0" collapsed="false">
      <c r="V114" s="0" t="n">
        <f aca="false">V113+(AND('İzin Kayıtları'!$I118="Onaylandı",'İzin Kayıtları'!$F118&lt;&gt;"",'İzin Kayıtları'!$F118&lt;=Listeler!$F$5,'İzin Kayıtları'!$G118&gt;=Listeler!$F$5,OR(Dashboard!$O$4="Tümü",'İzin Kayıtları'!$D118=Dashboard!$O$4))*1)</f>
        <v>2</v>
      </c>
    </row>
    <row r="115" customFormat="false" ht="15" hidden="false" customHeight="false" outlineLevel="0" collapsed="false">
      <c r="V115" s="0" t="n">
        <f aca="false">V114+(AND('İzin Kayıtları'!$I119="Onaylandı",'İzin Kayıtları'!$F119&lt;&gt;"",'İzin Kayıtları'!$F119&lt;=Listeler!$F$5,'İzin Kayıtları'!$G119&gt;=Listeler!$F$5,OR(Dashboard!$O$4="Tümü",'İzin Kayıtları'!$D119=Dashboard!$O$4))*1)</f>
        <v>2</v>
      </c>
    </row>
    <row r="116" customFormat="false" ht="15" hidden="false" customHeight="false" outlineLevel="0" collapsed="false">
      <c r="V116" s="0" t="n">
        <f aca="false">V115+(AND('İzin Kayıtları'!$I120="Onaylandı",'İzin Kayıtları'!$F120&lt;&gt;"",'İzin Kayıtları'!$F120&lt;=Listeler!$F$5,'İzin Kayıtları'!$G120&gt;=Listeler!$F$5,OR(Dashboard!$O$4="Tümü",'İzin Kayıtları'!$D120=Dashboard!$O$4))*1)</f>
        <v>2</v>
      </c>
    </row>
    <row r="117" customFormat="false" ht="15" hidden="false" customHeight="false" outlineLevel="0" collapsed="false">
      <c r="V117" s="0" t="n">
        <f aca="false">V116+(AND('İzin Kayıtları'!$I121="Onaylandı",'İzin Kayıtları'!$F121&lt;&gt;"",'İzin Kayıtları'!$F121&lt;=Listeler!$F$5,'İzin Kayıtları'!$G121&gt;=Listeler!$F$5,OR(Dashboard!$O$4="Tümü",'İzin Kayıtları'!$D121=Dashboard!$O$4))*1)</f>
        <v>2</v>
      </c>
    </row>
    <row r="118" customFormat="false" ht="15" hidden="false" customHeight="false" outlineLevel="0" collapsed="false">
      <c r="V118" s="0" t="n">
        <f aca="false">V117+(AND('İzin Kayıtları'!$I122="Onaylandı",'İzin Kayıtları'!$F122&lt;&gt;"",'İzin Kayıtları'!$F122&lt;=Listeler!$F$5,'İzin Kayıtları'!$G122&gt;=Listeler!$F$5,OR(Dashboard!$O$4="Tümü",'İzin Kayıtları'!$D122=Dashboard!$O$4))*1)</f>
        <v>2</v>
      </c>
    </row>
    <row r="119" customFormat="false" ht="15" hidden="false" customHeight="false" outlineLevel="0" collapsed="false">
      <c r="V119" s="0" t="n">
        <f aca="false">V118+(AND('İzin Kayıtları'!$I123="Onaylandı",'İzin Kayıtları'!$F123&lt;&gt;"",'İzin Kayıtları'!$F123&lt;=Listeler!$F$5,'İzin Kayıtları'!$G123&gt;=Listeler!$F$5,OR(Dashboard!$O$4="Tümü",'İzin Kayıtları'!$D123=Dashboard!$O$4))*1)</f>
        <v>2</v>
      </c>
    </row>
    <row r="120" customFormat="false" ht="15" hidden="false" customHeight="false" outlineLevel="0" collapsed="false">
      <c r="V120" s="0" t="n">
        <f aca="false">V119+(AND('İzin Kayıtları'!$I124="Onaylandı",'İzin Kayıtları'!$F124&lt;&gt;"",'İzin Kayıtları'!$F124&lt;=Listeler!$F$5,'İzin Kayıtları'!$G124&gt;=Listeler!$F$5,OR(Dashboard!$O$4="Tümü",'İzin Kayıtları'!$D124=Dashboard!$O$4))*1)</f>
        <v>2</v>
      </c>
    </row>
    <row r="121" customFormat="false" ht="15" hidden="false" customHeight="false" outlineLevel="0" collapsed="false">
      <c r="V121" s="0" t="n">
        <f aca="false">V120+(AND('İzin Kayıtları'!$I125="Onaylandı",'İzin Kayıtları'!$F125&lt;&gt;"",'İzin Kayıtları'!$F125&lt;=Listeler!$F$5,'İzin Kayıtları'!$G125&gt;=Listeler!$F$5,OR(Dashboard!$O$4="Tümü",'İzin Kayıtları'!$D125=Dashboard!$O$4))*1)</f>
        <v>2</v>
      </c>
    </row>
    <row r="122" customFormat="false" ht="15" hidden="false" customHeight="false" outlineLevel="0" collapsed="false">
      <c r="V122" s="0" t="n">
        <f aca="false">V121+(AND('İzin Kayıtları'!$I126="Onaylandı",'İzin Kayıtları'!$F126&lt;&gt;"",'İzin Kayıtları'!$F126&lt;=Listeler!$F$5,'İzin Kayıtları'!$G126&gt;=Listeler!$F$5,OR(Dashboard!$O$4="Tümü",'İzin Kayıtları'!$D126=Dashboard!$O$4))*1)</f>
        <v>2</v>
      </c>
    </row>
    <row r="123" customFormat="false" ht="15" hidden="false" customHeight="false" outlineLevel="0" collapsed="false">
      <c r="V123" s="0" t="n">
        <f aca="false">V122+(AND('İzin Kayıtları'!$I127="Onaylandı",'İzin Kayıtları'!$F127&lt;&gt;"",'İzin Kayıtları'!$F127&lt;=Listeler!$F$5,'İzin Kayıtları'!$G127&gt;=Listeler!$F$5,OR(Dashboard!$O$4="Tümü",'İzin Kayıtları'!$D127=Dashboard!$O$4))*1)</f>
        <v>2</v>
      </c>
    </row>
    <row r="124" customFormat="false" ht="15" hidden="false" customHeight="false" outlineLevel="0" collapsed="false">
      <c r="V124" s="0" t="n">
        <f aca="false">V123+(AND('İzin Kayıtları'!$I128="Onaylandı",'İzin Kayıtları'!$F128&lt;&gt;"",'İzin Kayıtları'!$F128&lt;=Listeler!$F$5,'İzin Kayıtları'!$G128&gt;=Listeler!$F$5,OR(Dashboard!$O$4="Tümü",'İzin Kayıtları'!$D128=Dashboard!$O$4))*1)</f>
        <v>2</v>
      </c>
    </row>
    <row r="125" customFormat="false" ht="15" hidden="false" customHeight="false" outlineLevel="0" collapsed="false">
      <c r="V125" s="0" t="n">
        <f aca="false">V124+(AND('İzin Kayıtları'!$I129="Onaylandı",'İzin Kayıtları'!$F129&lt;&gt;"",'İzin Kayıtları'!$F129&lt;=Listeler!$F$5,'İzin Kayıtları'!$G129&gt;=Listeler!$F$5,OR(Dashboard!$O$4="Tümü",'İzin Kayıtları'!$D129=Dashboard!$O$4))*1)</f>
        <v>2</v>
      </c>
    </row>
    <row r="126" customFormat="false" ht="15" hidden="false" customHeight="false" outlineLevel="0" collapsed="false">
      <c r="V126" s="0" t="n">
        <f aca="false">V125+(AND('İzin Kayıtları'!$I130="Onaylandı",'İzin Kayıtları'!$F130&lt;&gt;"",'İzin Kayıtları'!$F130&lt;=Listeler!$F$5,'İzin Kayıtları'!$G130&gt;=Listeler!$F$5,OR(Dashboard!$O$4="Tümü",'İzin Kayıtları'!$D130=Dashboard!$O$4))*1)</f>
        <v>2</v>
      </c>
    </row>
    <row r="127" customFormat="false" ht="15" hidden="false" customHeight="false" outlineLevel="0" collapsed="false">
      <c r="V127" s="0" t="n">
        <f aca="false">V126+(AND('İzin Kayıtları'!$I131="Onaylandı",'İzin Kayıtları'!$F131&lt;&gt;"",'İzin Kayıtları'!$F131&lt;=Listeler!$F$5,'İzin Kayıtları'!$G131&gt;=Listeler!$F$5,OR(Dashboard!$O$4="Tümü",'İzin Kayıtları'!$D131=Dashboard!$O$4))*1)</f>
        <v>2</v>
      </c>
    </row>
    <row r="128" customFormat="false" ht="15" hidden="false" customHeight="false" outlineLevel="0" collapsed="false">
      <c r="V128" s="0" t="n">
        <f aca="false">V127+(AND('İzin Kayıtları'!$I132="Onaylandı",'İzin Kayıtları'!$F132&lt;&gt;"",'İzin Kayıtları'!$F132&lt;=Listeler!$F$5,'İzin Kayıtları'!$G132&gt;=Listeler!$F$5,OR(Dashboard!$O$4="Tümü",'İzin Kayıtları'!$D132=Dashboard!$O$4))*1)</f>
        <v>2</v>
      </c>
    </row>
    <row r="129" customFormat="false" ht="15" hidden="false" customHeight="false" outlineLevel="0" collapsed="false">
      <c r="V129" s="0" t="n">
        <f aca="false">V128+(AND('İzin Kayıtları'!$I133="Onaylandı",'İzin Kayıtları'!$F133&lt;&gt;"",'İzin Kayıtları'!$F133&lt;=Listeler!$F$5,'İzin Kayıtları'!$G133&gt;=Listeler!$F$5,OR(Dashboard!$O$4="Tümü",'İzin Kayıtları'!$D133=Dashboard!$O$4))*1)</f>
        <v>2</v>
      </c>
    </row>
    <row r="130" customFormat="false" ht="15" hidden="false" customHeight="false" outlineLevel="0" collapsed="false">
      <c r="V130" s="0" t="n">
        <f aca="false">V129+(AND('İzin Kayıtları'!$I134="Onaylandı",'İzin Kayıtları'!$F134&lt;&gt;"",'İzin Kayıtları'!$F134&lt;=Listeler!$F$5,'İzin Kayıtları'!$G134&gt;=Listeler!$F$5,OR(Dashboard!$O$4="Tümü",'İzin Kayıtları'!$D134=Dashboard!$O$4))*1)</f>
        <v>2</v>
      </c>
    </row>
    <row r="131" customFormat="false" ht="15" hidden="false" customHeight="false" outlineLevel="0" collapsed="false">
      <c r="V131" s="0" t="n">
        <f aca="false">V130+(AND('İzin Kayıtları'!$I135="Onaylandı",'İzin Kayıtları'!$F135&lt;&gt;"",'İzin Kayıtları'!$F135&lt;=Listeler!$F$5,'İzin Kayıtları'!$G135&gt;=Listeler!$F$5,OR(Dashboard!$O$4="Tümü",'İzin Kayıtları'!$D135=Dashboard!$O$4))*1)</f>
        <v>2</v>
      </c>
    </row>
    <row r="132" customFormat="false" ht="15" hidden="false" customHeight="false" outlineLevel="0" collapsed="false">
      <c r="V132" s="0" t="n">
        <f aca="false">V131+(AND('İzin Kayıtları'!$I136="Onaylandı",'İzin Kayıtları'!$F136&lt;&gt;"",'İzin Kayıtları'!$F136&lt;=Listeler!$F$5,'İzin Kayıtları'!$G136&gt;=Listeler!$F$5,OR(Dashboard!$O$4="Tümü",'İzin Kayıtları'!$D136=Dashboard!$O$4))*1)</f>
        <v>2</v>
      </c>
    </row>
    <row r="133" customFormat="false" ht="15" hidden="false" customHeight="false" outlineLevel="0" collapsed="false">
      <c r="V133" s="0" t="n">
        <f aca="false">V132+(AND('İzin Kayıtları'!$I137="Onaylandı",'İzin Kayıtları'!$F137&lt;&gt;"",'İzin Kayıtları'!$F137&lt;=Listeler!$F$5,'İzin Kayıtları'!$G137&gt;=Listeler!$F$5,OR(Dashboard!$O$4="Tümü",'İzin Kayıtları'!$D137=Dashboard!$O$4))*1)</f>
        <v>2</v>
      </c>
    </row>
    <row r="134" customFormat="false" ht="15" hidden="false" customHeight="false" outlineLevel="0" collapsed="false">
      <c r="V134" s="0" t="n">
        <f aca="false">V133+(AND('İzin Kayıtları'!$I138="Onaylandı",'İzin Kayıtları'!$F138&lt;&gt;"",'İzin Kayıtları'!$F138&lt;=Listeler!$F$5,'İzin Kayıtları'!$G138&gt;=Listeler!$F$5,OR(Dashboard!$O$4="Tümü",'İzin Kayıtları'!$D138=Dashboard!$O$4))*1)</f>
        <v>2</v>
      </c>
    </row>
    <row r="135" customFormat="false" ht="15" hidden="false" customHeight="false" outlineLevel="0" collapsed="false">
      <c r="V135" s="0" t="n">
        <f aca="false">V134+(AND('İzin Kayıtları'!$I139="Onaylandı",'İzin Kayıtları'!$F139&lt;&gt;"",'İzin Kayıtları'!$F139&lt;=Listeler!$F$5,'İzin Kayıtları'!$G139&gt;=Listeler!$F$5,OR(Dashboard!$O$4="Tümü",'İzin Kayıtları'!$D139=Dashboard!$O$4))*1)</f>
        <v>2</v>
      </c>
    </row>
    <row r="136" customFormat="false" ht="15" hidden="false" customHeight="false" outlineLevel="0" collapsed="false">
      <c r="V136" s="0" t="n">
        <f aca="false">V135+(AND('İzin Kayıtları'!$I140="Onaylandı",'İzin Kayıtları'!$F140&lt;&gt;"",'İzin Kayıtları'!$F140&lt;=Listeler!$F$5,'İzin Kayıtları'!$G140&gt;=Listeler!$F$5,OR(Dashboard!$O$4="Tümü",'İzin Kayıtları'!$D140=Dashboard!$O$4))*1)</f>
        <v>2</v>
      </c>
    </row>
    <row r="137" customFormat="false" ht="15" hidden="false" customHeight="false" outlineLevel="0" collapsed="false">
      <c r="V137" s="0" t="n">
        <f aca="false">V136+(AND('İzin Kayıtları'!$I141="Onaylandı",'İzin Kayıtları'!$F141&lt;&gt;"",'İzin Kayıtları'!$F141&lt;=Listeler!$F$5,'İzin Kayıtları'!$G141&gt;=Listeler!$F$5,OR(Dashboard!$O$4="Tümü",'İzin Kayıtları'!$D141=Dashboard!$O$4))*1)</f>
        <v>2</v>
      </c>
    </row>
    <row r="138" customFormat="false" ht="15" hidden="false" customHeight="false" outlineLevel="0" collapsed="false">
      <c r="V138" s="0" t="n">
        <f aca="false">V137+(AND('İzin Kayıtları'!$I142="Onaylandı",'İzin Kayıtları'!$F142&lt;&gt;"",'İzin Kayıtları'!$F142&lt;=Listeler!$F$5,'İzin Kayıtları'!$G142&gt;=Listeler!$F$5,OR(Dashboard!$O$4="Tümü",'İzin Kayıtları'!$D142=Dashboard!$O$4))*1)</f>
        <v>2</v>
      </c>
    </row>
    <row r="139" customFormat="false" ht="15" hidden="false" customHeight="false" outlineLevel="0" collapsed="false">
      <c r="V139" s="0" t="n">
        <f aca="false">V138+(AND('İzin Kayıtları'!$I143="Onaylandı",'İzin Kayıtları'!$F143&lt;&gt;"",'İzin Kayıtları'!$F143&lt;=Listeler!$F$5,'İzin Kayıtları'!$G143&gt;=Listeler!$F$5,OR(Dashboard!$O$4="Tümü",'İzin Kayıtları'!$D143=Dashboard!$O$4))*1)</f>
        <v>2</v>
      </c>
    </row>
    <row r="140" customFormat="false" ht="15" hidden="false" customHeight="false" outlineLevel="0" collapsed="false">
      <c r="V140" s="0" t="n">
        <f aca="false">V139+(AND('İzin Kayıtları'!$I144="Onaylandı",'İzin Kayıtları'!$F144&lt;&gt;"",'İzin Kayıtları'!$F144&lt;=Listeler!$F$5,'İzin Kayıtları'!$G144&gt;=Listeler!$F$5,OR(Dashboard!$O$4="Tümü",'İzin Kayıtları'!$D144=Dashboard!$O$4))*1)</f>
        <v>2</v>
      </c>
    </row>
    <row r="141" customFormat="false" ht="15" hidden="false" customHeight="false" outlineLevel="0" collapsed="false">
      <c r="V141" s="0" t="n">
        <f aca="false">V140+(AND('İzin Kayıtları'!$I145="Onaylandı",'İzin Kayıtları'!$F145&lt;&gt;"",'İzin Kayıtları'!$F145&lt;=Listeler!$F$5,'İzin Kayıtları'!$G145&gt;=Listeler!$F$5,OR(Dashboard!$O$4="Tümü",'İzin Kayıtları'!$D145=Dashboard!$O$4))*1)</f>
        <v>2</v>
      </c>
    </row>
    <row r="142" customFormat="false" ht="15" hidden="false" customHeight="false" outlineLevel="0" collapsed="false">
      <c r="V142" s="0" t="n">
        <f aca="false">V141+(AND('İzin Kayıtları'!$I146="Onaylandı",'İzin Kayıtları'!$F146&lt;&gt;"",'İzin Kayıtları'!$F146&lt;=Listeler!$F$5,'İzin Kayıtları'!$G146&gt;=Listeler!$F$5,OR(Dashboard!$O$4="Tümü",'İzin Kayıtları'!$D146=Dashboard!$O$4))*1)</f>
        <v>2</v>
      </c>
    </row>
    <row r="143" customFormat="false" ht="15" hidden="false" customHeight="false" outlineLevel="0" collapsed="false">
      <c r="V143" s="0" t="n">
        <f aca="false">V142+(AND('İzin Kayıtları'!$I147="Onaylandı",'İzin Kayıtları'!$F147&lt;&gt;"",'İzin Kayıtları'!$F147&lt;=Listeler!$F$5,'İzin Kayıtları'!$G147&gt;=Listeler!$F$5,OR(Dashboard!$O$4="Tümü",'İzin Kayıtları'!$D147=Dashboard!$O$4))*1)</f>
        <v>2</v>
      </c>
    </row>
    <row r="144" customFormat="false" ht="15" hidden="false" customHeight="false" outlineLevel="0" collapsed="false">
      <c r="V144" s="0" t="n">
        <f aca="false">V143+(AND('İzin Kayıtları'!$I148="Onaylandı",'İzin Kayıtları'!$F148&lt;&gt;"",'İzin Kayıtları'!$F148&lt;=Listeler!$F$5,'İzin Kayıtları'!$G148&gt;=Listeler!$F$5,OR(Dashboard!$O$4="Tümü",'İzin Kayıtları'!$D148=Dashboard!$O$4))*1)</f>
        <v>2</v>
      </c>
    </row>
    <row r="145" customFormat="false" ht="15" hidden="false" customHeight="false" outlineLevel="0" collapsed="false">
      <c r="V145" s="0" t="n">
        <f aca="false">V144+(AND('İzin Kayıtları'!$I149="Onaylandı",'İzin Kayıtları'!$F149&lt;&gt;"",'İzin Kayıtları'!$F149&lt;=Listeler!$F$5,'İzin Kayıtları'!$G149&gt;=Listeler!$F$5,OR(Dashboard!$O$4="Tümü",'İzin Kayıtları'!$D149=Dashboard!$O$4))*1)</f>
        <v>2</v>
      </c>
    </row>
    <row r="146" customFormat="false" ht="15" hidden="false" customHeight="false" outlineLevel="0" collapsed="false">
      <c r="V146" s="0" t="n">
        <f aca="false">V145+(AND('İzin Kayıtları'!$I150="Onaylandı",'İzin Kayıtları'!$F150&lt;&gt;"",'İzin Kayıtları'!$F150&lt;=Listeler!$F$5,'İzin Kayıtları'!$G150&gt;=Listeler!$F$5,OR(Dashboard!$O$4="Tümü",'İzin Kayıtları'!$D150=Dashboard!$O$4))*1)</f>
        <v>2</v>
      </c>
    </row>
    <row r="147" customFormat="false" ht="15" hidden="false" customHeight="false" outlineLevel="0" collapsed="false">
      <c r="V147" s="0" t="n">
        <f aca="false">V146+(AND('İzin Kayıtları'!$I151="Onaylandı",'İzin Kayıtları'!$F151&lt;&gt;"",'İzin Kayıtları'!$F151&lt;=Listeler!$F$5,'İzin Kayıtları'!$G151&gt;=Listeler!$F$5,OR(Dashboard!$O$4="Tümü",'İzin Kayıtları'!$D151=Dashboard!$O$4))*1)</f>
        <v>2</v>
      </c>
    </row>
    <row r="148" customFormat="false" ht="15" hidden="false" customHeight="false" outlineLevel="0" collapsed="false">
      <c r="V148" s="0" t="n">
        <f aca="false">V147+(AND('İzin Kayıtları'!$I152="Onaylandı",'İzin Kayıtları'!$F152&lt;&gt;"",'İzin Kayıtları'!$F152&lt;=Listeler!$F$5,'İzin Kayıtları'!$G152&gt;=Listeler!$F$5,OR(Dashboard!$O$4="Tümü",'İzin Kayıtları'!$D152=Dashboard!$O$4))*1)</f>
        <v>2</v>
      </c>
    </row>
    <row r="149" customFormat="false" ht="15" hidden="false" customHeight="false" outlineLevel="0" collapsed="false">
      <c r="V149" s="0" t="n">
        <f aca="false">V148+(AND('İzin Kayıtları'!$I153="Onaylandı",'İzin Kayıtları'!$F153&lt;&gt;"",'İzin Kayıtları'!$F153&lt;=Listeler!$F$5,'İzin Kayıtları'!$G153&gt;=Listeler!$F$5,OR(Dashboard!$O$4="Tümü",'İzin Kayıtları'!$D153=Dashboard!$O$4))*1)</f>
        <v>2</v>
      </c>
    </row>
    <row r="150" customFormat="false" ht="15" hidden="false" customHeight="false" outlineLevel="0" collapsed="false">
      <c r="V150" s="0" t="n">
        <f aca="false">V149+(AND('İzin Kayıtları'!$I154="Onaylandı",'İzin Kayıtları'!$F154&lt;&gt;"",'İzin Kayıtları'!$F154&lt;=Listeler!$F$5,'İzin Kayıtları'!$G154&gt;=Listeler!$F$5,OR(Dashboard!$O$4="Tümü",'İzin Kayıtları'!$D154=Dashboard!$O$4))*1)</f>
        <v>2</v>
      </c>
    </row>
    <row r="151" customFormat="false" ht="15" hidden="false" customHeight="false" outlineLevel="0" collapsed="false">
      <c r="V151" s="0" t="n">
        <f aca="false">V150+(AND('İzin Kayıtları'!$I155="Onaylandı",'İzin Kayıtları'!$F155&lt;&gt;"",'İzin Kayıtları'!$F155&lt;=Listeler!$F$5,'İzin Kayıtları'!$G155&gt;=Listeler!$F$5,OR(Dashboard!$O$4="Tümü",'İzin Kayıtları'!$D155=Dashboard!$O$4))*1)</f>
        <v>2</v>
      </c>
    </row>
    <row r="152" customFormat="false" ht="15" hidden="false" customHeight="false" outlineLevel="0" collapsed="false">
      <c r="V152" s="0" t="n">
        <f aca="false">V151+(AND('İzin Kayıtları'!$I156="Onaylandı",'İzin Kayıtları'!$F156&lt;&gt;"",'İzin Kayıtları'!$F156&lt;=Listeler!$F$5,'İzin Kayıtları'!$G156&gt;=Listeler!$F$5,OR(Dashboard!$O$4="Tümü",'İzin Kayıtları'!$D156=Dashboard!$O$4))*1)</f>
        <v>2</v>
      </c>
    </row>
    <row r="153" customFormat="false" ht="15" hidden="false" customHeight="false" outlineLevel="0" collapsed="false">
      <c r="V153" s="0" t="n">
        <f aca="false">V152+(AND('İzin Kayıtları'!$I157="Onaylandı",'İzin Kayıtları'!$F157&lt;&gt;"",'İzin Kayıtları'!$F157&lt;=Listeler!$F$5,'İzin Kayıtları'!$G157&gt;=Listeler!$F$5,OR(Dashboard!$O$4="Tümü",'İzin Kayıtları'!$D157=Dashboard!$O$4))*1)</f>
        <v>2</v>
      </c>
    </row>
    <row r="154" customFormat="false" ht="15" hidden="false" customHeight="false" outlineLevel="0" collapsed="false">
      <c r="V154" s="0" t="n">
        <f aca="false">V153+(AND('İzin Kayıtları'!$I158="Onaylandı",'İzin Kayıtları'!$F158&lt;&gt;"",'İzin Kayıtları'!$F158&lt;=Listeler!$F$5,'İzin Kayıtları'!$G158&gt;=Listeler!$F$5,OR(Dashboard!$O$4="Tümü",'İzin Kayıtları'!$D158=Dashboard!$O$4))*1)</f>
        <v>2</v>
      </c>
    </row>
    <row r="155" customFormat="false" ht="15" hidden="false" customHeight="false" outlineLevel="0" collapsed="false">
      <c r="V155" s="0" t="n">
        <f aca="false">V154+(AND('İzin Kayıtları'!$I159="Onaylandı",'İzin Kayıtları'!$F159&lt;&gt;"",'İzin Kayıtları'!$F159&lt;=Listeler!$F$5,'İzin Kayıtları'!$G159&gt;=Listeler!$F$5,OR(Dashboard!$O$4="Tümü",'İzin Kayıtları'!$D159=Dashboard!$O$4))*1)</f>
        <v>2</v>
      </c>
    </row>
    <row r="156" customFormat="false" ht="15" hidden="false" customHeight="false" outlineLevel="0" collapsed="false">
      <c r="V156" s="0" t="n">
        <f aca="false">V155+(AND('İzin Kayıtları'!$I160="Onaylandı",'İzin Kayıtları'!$F160&lt;&gt;"",'İzin Kayıtları'!$F160&lt;=Listeler!$F$5,'İzin Kayıtları'!$G160&gt;=Listeler!$F$5,OR(Dashboard!$O$4="Tümü",'İzin Kayıtları'!$D160=Dashboard!$O$4))*1)</f>
        <v>2</v>
      </c>
    </row>
    <row r="157" customFormat="false" ht="15" hidden="false" customHeight="false" outlineLevel="0" collapsed="false">
      <c r="V157" s="0" t="n">
        <f aca="false">V156+(AND('İzin Kayıtları'!$I161="Onaylandı",'İzin Kayıtları'!$F161&lt;&gt;"",'İzin Kayıtları'!$F161&lt;=Listeler!$F$5,'İzin Kayıtları'!$G161&gt;=Listeler!$F$5,OR(Dashboard!$O$4="Tümü",'İzin Kayıtları'!$D161=Dashboard!$O$4))*1)</f>
        <v>2</v>
      </c>
    </row>
    <row r="158" customFormat="false" ht="15" hidden="false" customHeight="false" outlineLevel="0" collapsed="false">
      <c r="V158" s="0" t="n">
        <f aca="false">V157+(AND('İzin Kayıtları'!$I162="Onaylandı",'İzin Kayıtları'!$F162&lt;&gt;"",'İzin Kayıtları'!$F162&lt;=Listeler!$F$5,'İzin Kayıtları'!$G162&gt;=Listeler!$F$5,OR(Dashboard!$O$4="Tümü",'İzin Kayıtları'!$D162=Dashboard!$O$4))*1)</f>
        <v>2</v>
      </c>
    </row>
    <row r="159" customFormat="false" ht="15" hidden="false" customHeight="false" outlineLevel="0" collapsed="false">
      <c r="V159" s="0" t="n">
        <f aca="false">V158+(AND('İzin Kayıtları'!$I163="Onaylandı",'İzin Kayıtları'!$F163&lt;&gt;"",'İzin Kayıtları'!$F163&lt;=Listeler!$F$5,'İzin Kayıtları'!$G163&gt;=Listeler!$F$5,OR(Dashboard!$O$4="Tümü",'İzin Kayıtları'!$D163=Dashboard!$O$4))*1)</f>
        <v>2</v>
      </c>
    </row>
    <row r="160" customFormat="false" ht="15" hidden="false" customHeight="false" outlineLevel="0" collapsed="false">
      <c r="V160" s="0" t="n">
        <f aca="false">V159+(AND('İzin Kayıtları'!$I164="Onaylandı",'İzin Kayıtları'!$F164&lt;&gt;"",'İzin Kayıtları'!$F164&lt;=Listeler!$F$5,'İzin Kayıtları'!$G164&gt;=Listeler!$F$5,OR(Dashboard!$O$4="Tümü",'İzin Kayıtları'!$D164=Dashboard!$O$4))*1)</f>
        <v>2</v>
      </c>
    </row>
    <row r="161" customFormat="false" ht="15" hidden="false" customHeight="false" outlineLevel="0" collapsed="false">
      <c r="V161" s="0" t="n">
        <f aca="false">V160+(AND('İzin Kayıtları'!$I165="Onaylandı",'İzin Kayıtları'!$F165&lt;&gt;"",'İzin Kayıtları'!$F165&lt;=Listeler!$F$5,'İzin Kayıtları'!$G165&gt;=Listeler!$F$5,OR(Dashboard!$O$4="Tümü",'İzin Kayıtları'!$D165=Dashboard!$O$4))*1)</f>
        <v>2</v>
      </c>
    </row>
    <row r="162" customFormat="false" ht="15" hidden="false" customHeight="false" outlineLevel="0" collapsed="false">
      <c r="V162" s="0" t="n">
        <f aca="false">V161+(AND('İzin Kayıtları'!$I166="Onaylandı",'İzin Kayıtları'!$F166&lt;&gt;"",'İzin Kayıtları'!$F166&lt;=Listeler!$F$5,'İzin Kayıtları'!$G166&gt;=Listeler!$F$5,OR(Dashboard!$O$4="Tümü",'İzin Kayıtları'!$D166=Dashboard!$O$4))*1)</f>
        <v>2</v>
      </c>
    </row>
    <row r="163" customFormat="false" ht="15" hidden="false" customHeight="false" outlineLevel="0" collapsed="false">
      <c r="V163" s="0" t="n">
        <f aca="false">V162+(AND('İzin Kayıtları'!$I167="Onaylandı",'İzin Kayıtları'!$F167&lt;&gt;"",'İzin Kayıtları'!$F167&lt;=Listeler!$F$5,'İzin Kayıtları'!$G167&gt;=Listeler!$F$5,OR(Dashboard!$O$4="Tümü",'İzin Kayıtları'!$D167=Dashboard!$O$4))*1)</f>
        <v>2</v>
      </c>
    </row>
    <row r="164" customFormat="false" ht="15" hidden="false" customHeight="false" outlineLevel="0" collapsed="false">
      <c r="V164" s="0" t="n">
        <f aca="false">V163+(AND('İzin Kayıtları'!$I168="Onaylandı",'İzin Kayıtları'!$F168&lt;&gt;"",'İzin Kayıtları'!$F168&lt;=Listeler!$F$5,'İzin Kayıtları'!$G168&gt;=Listeler!$F$5,OR(Dashboard!$O$4="Tümü",'İzin Kayıtları'!$D168=Dashboard!$O$4))*1)</f>
        <v>2</v>
      </c>
    </row>
    <row r="165" customFormat="false" ht="15" hidden="false" customHeight="false" outlineLevel="0" collapsed="false">
      <c r="V165" s="0" t="n">
        <f aca="false">V164+(AND('İzin Kayıtları'!$I169="Onaylandı",'İzin Kayıtları'!$F169&lt;&gt;"",'İzin Kayıtları'!$F169&lt;=Listeler!$F$5,'İzin Kayıtları'!$G169&gt;=Listeler!$F$5,OR(Dashboard!$O$4="Tümü",'İzin Kayıtları'!$D169=Dashboard!$O$4))*1)</f>
        <v>2</v>
      </c>
    </row>
    <row r="166" customFormat="false" ht="15" hidden="false" customHeight="false" outlineLevel="0" collapsed="false">
      <c r="V166" s="0" t="n">
        <f aca="false">V165+(AND('İzin Kayıtları'!$I170="Onaylandı",'İzin Kayıtları'!$F170&lt;&gt;"",'İzin Kayıtları'!$F170&lt;=Listeler!$F$5,'İzin Kayıtları'!$G170&gt;=Listeler!$F$5,OR(Dashboard!$O$4="Tümü",'İzin Kayıtları'!$D170=Dashboard!$O$4))*1)</f>
        <v>2</v>
      </c>
    </row>
    <row r="167" customFormat="false" ht="15" hidden="false" customHeight="false" outlineLevel="0" collapsed="false">
      <c r="V167" s="0" t="n">
        <f aca="false">V166+(AND('İzin Kayıtları'!$I171="Onaylandı",'İzin Kayıtları'!$F171&lt;&gt;"",'İzin Kayıtları'!$F171&lt;=Listeler!$F$5,'İzin Kayıtları'!$G171&gt;=Listeler!$F$5,OR(Dashboard!$O$4="Tümü",'İzin Kayıtları'!$D171=Dashboard!$O$4))*1)</f>
        <v>2</v>
      </c>
    </row>
    <row r="168" customFormat="false" ht="15" hidden="false" customHeight="false" outlineLevel="0" collapsed="false">
      <c r="V168" s="0" t="n">
        <f aca="false">V167+(AND('İzin Kayıtları'!$I172="Onaylandı",'İzin Kayıtları'!$F172&lt;&gt;"",'İzin Kayıtları'!$F172&lt;=Listeler!$F$5,'İzin Kayıtları'!$G172&gt;=Listeler!$F$5,OR(Dashboard!$O$4="Tümü",'İzin Kayıtları'!$D172=Dashboard!$O$4))*1)</f>
        <v>2</v>
      </c>
    </row>
    <row r="169" customFormat="false" ht="15" hidden="false" customHeight="false" outlineLevel="0" collapsed="false">
      <c r="V169" s="0" t="n">
        <f aca="false">V168+(AND('İzin Kayıtları'!$I173="Onaylandı",'İzin Kayıtları'!$F173&lt;&gt;"",'İzin Kayıtları'!$F173&lt;=Listeler!$F$5,'İzin Kayıtları'!$G173&gt;=Listeler!$F$5,OR(Dashboard!$O$4="Tümü",'İzin Kayıtları'!$D173=Dashboard!$O$4))*1)</f>
        <v>2</v>
      </c>
    </row>
    <row r="170" customFormat="false" ht="15" hidden="false" customHeight="false" outlineLevel="0" collapsed="false">
      <c r="V170" s="0" t="n">
        <f aca="false">V169+(AND('İzin Kayıtları'!$I174="Onaylandı",'İzin Kayıtları'!$F174&lt;&gt;"",'İzin Kayıtları'!$F174&lt;=Listeler!$F$5,'İzin Kayıtları'!$G174&gt;=Listeler!$F$5,OR(Dashboard!$O$4="Tümü",'İzin Kayıtları'!$D174=Dashboard!$O$4))*1)</f>
        <v>2</v>
      </c>
    </row>
    <row r="171" customFormat="false" ht="15" hidden="false" customHeight="false" outlineLevel="0" collapsed="false">
      <c r="V171" s="0" t="n">
        <f aca="false">V170+(AND('İzin Kayıtları'!$I175="Onaylandı",'İzin Kayıtları'!$F175&lt;&gt;"",'İzin Kayıtları'!$F175&lt;=Listeler!$F$5,'İzin Kayıtları'!$G175&gt;=Listeler!$F$5,OR(Dashboard!$O$4="Tümü",'İzin Kayıtları'!$D175=Dashboard!$O$4))*1)</f>
        <v>2</v>
      </c>
    </row>
    <row r="172" customFormat="false" ht="15" hidden="false" customHeight="false" outlineLevel="0" collapsed="false">
      <c r="V172" s="0" t="n">
        <f aca="false">V171+(AND('İzin Kayıtları'!$I176="Onaylandı",'İzin Kayıtları'!$F176&lt;&gt;"",'İzin Kayıtları'!$F176&lt;=Listeler!$F$5,'İzin Kayıtları'!$G176&gt;=Listeler!$F$5,OR(Dashboard!$O$4="Tümü",'İzin Kayıtları'!$D176=Dashboard!$O$4))*1)</f>
        <v>2</v>
      </c>
    </row>
    <row r="173" customFormat="false" ht="15" hidden="false" customHeight="false" outlineLevel="0" collapsed="false">
      <c r="V173" s="0" t="n">
        <f aca="false">V172+(AND('İzin Kayıtları'!$I177="Onaylandı",'İzin Kayıtları'!$F177&lt;&gt;"",'İzin Kayıtları'!$F177&lt;=Listeler!$F$5,'İzin Kayıtları'!$G177&gt;=Listeler!$F$5,OR(Dashboard!$O$4="Tümü",'İzin Kayıtları'!$D177=Dashboard!$O$4))*1)</f>
        <v>2</v>
      </c>
    </row>
    <row r="174" customFormat="false" ht="15" hidden="false" customHeight="false" outlineLevel="0" collapsed="false">
      <c r="V174" s="0" t="n">
        <f aca="false">V173+(AND('İzin Kayıtları'!$I178="Onaylandı",'İzin Kayıtları'!$F178&lt;&gt;"",'İzin Kayıtları'!$F178&lt;=Listeler!$F$5,'İzin Kayıtları'!$G178&gt;=Listeler!$F$5,OR(Dashboard!$O$4="Tümü",'İzin Kayıtları'!$D178=Dashboard!$O$4))*1)</f>
        <v>2</v>
      </c>
    </row>
    <row r="175" customFormat="false" ht="15" hidden="false" customHeight="false" outlineLevel="0" collapsed="false">
      <c r="V175" s="0" t="n">
        <f aca="false">V174+(AND('İzin Kayıtları'!$I179="Onaylandı",'İzin Kayıtları'!$F179&lt;&gt;"",'İzin Kayıtları'!$F179&lt;=Listeler!$F$5,'İzin Kayıtları'!$G179&gt;=Listeler!$F$5,OR(Dashboard!$O$4="Tümü",'İzin Kayıtları'!$D179=Dashboard!$O$4))*1)</f>
        <v>2</v>
      </c>
    </row>
    <row r="176" customFormat="false" ht="15" hidden="false" customHeight="false" outlineLevel="0" collapsed="false">
      <c r="V176" s="0" t="n">
        <f aca="false">V175+(AND('İzin Kayıtları'!$I180="Onaylandı",'İzin Kayıtları'!$F180&lt;&gt;"",'İzin Kayıtları'!$F180&lt;=Listeler!$F$5,'İzin Kayıtları'!$G180&gt;=Listeler!$F$5,OR(Dashboard!$O$4="Tümü",'İzin Kayıtları'!$D180=Dashboard!$O$4))*1)</f>
        <v>2</v>
      </c>
    </row>
    <row r="177" customFormat="false" ht="15" hidden="false" customHeight="false" outlineLevel="0" collapsed="false">
      <c r="V177" s="0" t="n">
        <f aca="false">V176+(AND('İzin Kayıtları'!$I181="Onaylandı",'İzin Kayıtları'!$F181&lt;&gt;"",'İzin Kayıtları'!$F181&lt;=Listeler!$F$5,'İzin Kayıtları'!$G181&gt;=Listeler!$F$5,OR(Dashboard!$O$4="Tümü",'İzin Kayıtları'!$D181=Dashboard!$O$4))*1)</f>
        <v>2</v>
      </c>
    </row>
    <row r="178" customFormat="false" ht="15" hidden="false" customHeight="false" outlineLevel="0" collapsed="false">
      <c r="V178" s="0" t="n">
        <f aca="false">V177+(AND('İzin Kayıtları'!$I182="Onaylandı",'İzin Kayıtları'!$F182&lt;&gt;"",'İzin Kayıtları'!$F182&lt;=Listeler!$F$5,'İzin Kayıtları'!$G182&gt;=Listeler!$F$5,OR(Dashboard!$O$4="Tümü",'İzin Kayıtları'!$D182=Dashboard!$O$4))*1)</f>
        <v>2</v>
      </c>
    </row>
    <row r="179" customFormat="false" ht="15" hidden="false" customHeight="false" outlineLevel="0" collapsed="false">
      <c r="V179" s="0" t="n">
        <f aca="false">V178+(AND('İzin Kayıtları'!$I183="Onaylandı",'İzin Kayıtları'!$F183&lt;&gt;"",'İzin Kayıtları'!$F183&lt;=Listeler!$F$5,'İzin Kayıtları'!$G183&gt;=Listeler!$F$5,OR(Dashboard!$O$4="Tümü",'İzin Kayıtları'!$D183=Dashboard!$O$4))*1)</f>
        <v>2</v>
      </c>
    </row>
    <row r="180" customFormat="false" ht="15" hidden="false" customHeight="false" outlineLevel="0" collapsed="false">
      <c r="V180" s="0" t="n">
        <f aca="false">V179+(AND('İzin Kayıtları'!$I184="Onaylandı",'İzin Kayıtları'!$F184&lt;&gt;"",'İzin Kayıtları'!$F184&lt;=Listeler!$F$5,'İzin Kayıtları'!$G184&gt;=Listeler!$F$5,OR(Dashboard!$O$4="Tümü",'İzin Kayıtları'!$D184=Dashboard!$O$4))*1)</f>
        <v>2</v>
      </c>
    </row>
    <row r="181" customFormat="false" ht="15" hidden="false" customHeight="false" outlineLevel="0" collapsed="false">
      <c r="V181" s="0" t="n">
        <f aca="false">V180+(AND('İzin Kayıtları'!$I185="Onaylandı",'İzin Kayıtları'!$F185&lt;&gt;"",'İzin Kayıtları'!$F185&lt;=Listeler!$F$5,'İzin Kayıtları'!$G185&gt;=Listeler!$F$5,OR(Dashboard!$O$4="Tümü",'İzin Kayıtları'!$D185=Dashboard!$O$4))*1)</f>
        <v>2</v>
      </c>
    </row>
    <row r="182" customFormat="false" ht="15" hidden="false" customHeight="false" outlineLevel="0" collapsed="false">
      <c r="V182" s="0" t="n">
        <f aca="false">V181+(AND('İzin Kayıtları'!$I186="Onaylandı",'İzin Kayıtları'!$F186&lt;&gt;"",'İzin Kayıtları'!$F186&lt;=Listeler!$F$5,'İzin Kayıtları'!$G186&gt;=Listeler!$F$5,OR(Dashboard!$O$4="Tümü",'İzin Kayıtları'!$D186=Dashboard!$O$4))*1)</f>
        <v>2</v>
      </c>
    </row>
    <row r="183" customFormat="false" ht="15" hidden="false" customHeight="false" outlineLevel="0" collapsed="false">
      <c r="V183" s="0" t="n">
        <f aca="false">V182+(AND('İzin Kayıtları'!$I187="Onaylandı",'İzin Kayıtları'!$F187&lt;&gt;"",'İzin Kayıtları'!$F187&lt;=Listeler!$F$5,'İzin Kayıtları'!$G187&gt;=Listeler!$F$5,OR(Dashboard!$O$4="Tümü",'İzin Kayıtları'!$D187=Dashboard!$O$4))*1)</f>
        <v>2</v>
      </c>
    </row>
    <row r="184" customFormat="false" ht="15" hidden="false" customHeight="false" outlineLevel="0" collapsed="false">
      <c r="V184" s="0" t="n">
        <f aca="false">V183+(AND('İzin Kayıtları'!$I188="Onaylandı",'İzin Kayıtları'!$F188&lt;&gt;"",'İzin Kayıtları'!$F188&lt;=Listeler!$F$5,'İzin Kayıtları'!$G188&gt;=Listeler!$F$5,OR(Dashboard!$O$4="Tümü",'İzin Kayıtları'!$D188=Dashboard!$O$4))*1)</f>
        <v>2</v>
      </c>
    </row>
    <row r="185" customFormat="false" ht="15" hidden="false" customHeight="false" outlineLevel="0" collapsed="false">
      <c r="V185" s="0" t="n">
        <f aca="false">V184+(AND('İzin Kayıtları'!$I189="Onaylandı",'İzin Kayıtları'!$F189&lt;&gt;"",'İzin Kayıtları'!$F189&lt;=Listeler!$F$5,'İzin Kayıtları'!$G189&gt;=Listeler!$F$5,OR(Dashboard!$O$4="Tümü",'İzin Kayıtları'!$D189=Dashboard!$O$4))*1)</f>
        <v>2</v>
      </c>
    </row>
    <row r="186" customFormat="false" ht="15" hidden="false" customHeight="false" outlineLevel="0" collapsed="false">
      <c r="V186" s="0" t="n">
        <f aca="false">V185+(AND('İzin Kayıtları'!$I190="Onaylandı",'İzin Kayıtları'!$F190&lt;&gt;"",'İzin Kayıtları'!$F190&lt;=Listeler!$F$5,'İzin Kayıtları'!$G190&gt;=Listeler!$F$5,OR(Dashboard!$O$4="Tümü",'İzin Kayıtları'!$D190=Dashboard!$O$4))*1)</f>
        <v>2</v>
      </c>
    </row>
    <row r="187" customFormat="false" ht="15" hidden="false" customHeight="false" outlineLevel="0" collapsed="false">
      <c r="V187" s="0" t="n">
        <f aca="false">V186+(AND('İzin Kayıtları'!$I191="Onaylandı",'İzin Kayıtları'!$F191&lt;&gt;"",'İzin Kayıtları'!$F191&lt;=Listeler!$F$5,'İzin Kayıtları'!$G191&gt;=Listeler!$F$5,OR(Dashboard!$O$4="Tümü",'İzin Kayıtları'!$D191=Dashboard!$O$4))*1)</f>
        <v>2</v>
      </c>
    </row>
    <row r="188" customFormat="false" ht="15" hidden="false" customHeight="false" outlineLevel="0" collapsed="false">
      <c r="V188" s="0" t="n">
        <f aca="false">V187+(AND('İzin Kayıtları'!$I192="Onaylandı",'İzin Kayıtları'!$F192&lt;&gt;"",'İzin Kayıtları'!$F192&lt;=Listeler!$F$5,'İzin Kayıtları'!$G192&gt;=Listeler!$F$5,OR(Dashboard!$O$4="Tümü",'İzin Kayıtları'!$D192=Dashboard!$O$4))*1)</f>
        <v>2</v>
      </c>
    </row>
    <row r="189" customFormat="false" ht="15" hidden="false" customHeight="false" outlineLevel="0" collapsed="false">
      <c r="V189" s="0" t="n">
        <f aca="false">V188+(AND('İzin Kayıtları'!$I193="Onaylandı",'İzin Kayıtları'!$F193&lt;&gt;"",'İzin Kayıtları'!$F193&lt;=Listeler!$F$5,'İzin Kayıtları'!$G193&gt;=Listeler!$F$5,OR(Dashboard!$O$4="Tümü",'İzin Kayıtları'!$D193=Dashboard!$O$4))*1)</f>
        <v>2</v>
      </c>
    </row>
    <row r="190" customFormat="false" ht="15" hidden="false" customHeight="false" outlineLevel="0" collapsed="false">
      <c r="V190" s="0" t="n">
        <f aca="false">V189+(AND('İzin Kayıtları'!$I194="Onaylandı",'İzin Kayıtları'!$F194&lt;&gt;"",'İzin Kayıtları'!$F194&lt;=Listeler!$F$5,'İzin Kayıtları'!$G194&gt;=Listeler!$F$5,OR(Dashboard!$O$4="Tümü",'İzin Kayıtları'!$D194=Dashboard!$O$4))*1)</f>
        <v>2</v>
      </c>
    </row>
    <row r="191" customFormat="false" ht="15" hidden="false" customHeight="false" outlineLevel="0" collapsed="false">
      <c r="V191" s="0" t="n">
        <f aca="false">V190+(AND('İzin Kayıtları'!$I195="Onaylandı",'İzin Kayıtları'!$F195&lt;&gt;"",'İzin Kayıtları'!$F195&lt;=Listeler!$F$5,'İzin Kayıtları'!$G195&gt;=Listeler!$F$5,OR(Dashboard!$O$4="Tümü",'İzin Kayıtları'!$D195=Dashboard!$O$4))*1)</f>
        <v>2</v>
      </c>
    </row>
    <row r="192" customFormat="false" ht="15" hidden="false" customHeight="false" outlineLevel="0" collapsed="false">
      <c r="V192" s="0" t="n">
        <f aca="false">V191+(AND('İzin Kayıtları'!$I196="Onaylandı",'İzin Kayıtları'!$F196&lt;&gt;"",'İzin Kayıtları'!$F196&lt;=Listeler!$F$5,'İzin Kayıtları'!$G196&gt;=Listeler!$F$5,OR(Dashboard!$O$4="Tümü",'İzin Kayıtları'!$D196=Dashboard!$O$4))*1)</f>
        <v>2</v>
      </c>
    </row>
    <row r="193" customFormat="false" ht="15" hidden="false" customHeight="false" outlineLevel="0" collapsed="false">
      <c r="V193" s="0" t="n">
        <f aca="false">V192+(AND('İzin Kayıtları'!$I197="Onaylandı",'İzin Kayıtları'!$F197&lt;&gt;"",'İzin Kayıtları'!$F197&lt;=Listeler!$F$5,'İzin Kayıtları'!$G197&gt;=Listeler!$F$5,OR(Dashboard!$O$4="Tümü",'İzin Kayıtları'!$D197=Dashboard!$O$4))*1)</f>
        <v>2</v>
      </c>
    </row>
    <row r="194" customFormat="false" ht="15" hidden="false" customHeight="false" outlineLevel="0" collapsed="false">
      <c r="V194" s="0" t="n">
        <f aca="false">V193+(AND('İzin Kayıtları'!$I198="Onaylandı",'İzin Kayıtları'!$F198&lt;&gt;"",'İzin Kayıtları'!$F198&lt;=Listeler!$F$5,'İzin Kayıtları'!$G198&gt;=Listeler!$F$5,OR(Dashboard!$O$4="Tümü",'İzin Kayıtları'!$D198=Dashboard!$O$4))*1)</f>
        <v>2</v>
      </c>
    </row>
    <row r="195" customFormat="false" ht="15" hidden="false" customHeight="false" outlineLevel="0" collapsed="false">
      <c r="V195" s="0" t="n">
        <f aca="false">V194+(AND('İzin Kayıtları'!$I199="Onaylandı",'İzin Kayıtları'!$F199&lt;&gt;"",'İzin Kayıtları'!$F199&lt;=Listeler!$F$5,'İzin Kayıtları'!$G199&gt;=Listeler!$F$5,OR(Dashboard!$O$4="Tümü",'İzin Kayıtları'!$D199=Dashboard!$O$4))*1)</f>
        <v>2</v>
      </c>
    </row>
    <row r="196" customFormat="false" ht="15" hidden="false" customHeight="false" outlineLevel="0" collapsed="false">
      <c r="V196" s="0" t="n">
        <f aca="false">V195+(AND('İzin Kayıtları'!$I200="Onaylandı",'İzin Kayıtları'!$F200&lt;&gt;"",'İzin Kayıtları'!$F200&lt;=Listeler!$F$5,'İzin Kayıtları'!$G200&gt;=Listeler!$F$5,OR(Dashboard!$O$4="Tümü",'İzin Kayıtları'!$D200=Dashboard!$O$4))*1)</f>
        <v>2</v>
      </c>
    </row>
    <row r="197" customFormat="false" ht="15" hidden="false" customHeight="false" outlineLevel="0" collapsed="false">
      <c r="V197" s="0" t="n">
        <f aca="false">V196+(AND('İzin Kayıtları'!$I201="Onaylandı",'İzin Kayıtları'!$F201&lt;&gt;"",'İzin Kayıtları'!$F201&lt;=Listeler!$F$5,'İzin Kayıtları'!$G201&gt;=Listeler!$F$5,OR(Dashboard!$O$4="Tümü",'İzin Kayıtları'!$D201=Dashboard!$O$4))*1)</f>
        <v>2</v>
      </c>
    </row>
    <row r="198" customFormat="false" ht="15" hidden="false" customHeight="false" outlineLevel="0" collapsed="false">
      <c r="V198" s="0" t="n">
        <f aca="false">V197+(AND('İzin Kayıtları'!$I202="Onaylandı",'İzin Kayıtları'!$F202&lt;&gt;"",'İzin Kayıtları'!$F202&lt;=Listeler!$F$5,'İzin Kayıtları'!$G202&gt;=Listeler!$F$5,OR(Dashboard!$O$4="Tümü",'İzin Kayıtları'!$D202=Dashboard!$O$4))*1)</f>
        <v>2</v>
      </c>
    </row>
    <row r="199" customFormat="false" ht="15" hidden="false" customHeight="false" outlineLevel="0" collapsed="false">
      <c r="V199" s="0" t="n">
        <f aca="false">V198+(AND('İzin Kayıtları'!$I203="Onaylandı",'İzin Kayıtları'!$F203&lt;&gt;"",'İzin Kayıtları'!$F203&lt;=Listeler!$F$5,'İzin Kayıtları'!$G203&gt;=Listeler!$F$5,OR(Dashboard!$O$4="Tümü",'İzin Kayıtları'!$D203=Dashboard!$O$4))*1)</f>
        <v>2</v>
      </c>
    </row>
    <row r="200" customFormat="false" ht="15" hidden="false" customHeight="false" outlineLevel="0" collapsed="false">
      <c r="V200" s="0" t="n">
        <f aca="false">V199+(AND('İzin Kayıtları'!$I204="Onaylandı",'İzin Kayıtları'!$F204&lt;&gt;"",'İzin Kayıtları'!$F204&lt;=Listeler!$F$5,'İzin Kayıtları'!$G204&gt;=Listeler!$F$5,OR(Dashboard!$O$4="Tümü",'İzin Kayıtları'!$D204=Dashboard!$O$4))*1)</f>
        <v>2</v>
      </c>
    </row>
    <row r="201" customFormat="false" ht="15" hidden="false" customHeight="false" outlineLevel="0" collapsed="false">
      <c r="V201" s="0" t="n">
        <f aca="false">V200+(AND('İzin Kayıtları'!$I205="Onaylandı",'İzin Kayıtları'!$F205&lt;&gt;"",'İzin Kayıtları'!$F205&lt;=Listeler!$F$5,'İzin Kayıtları'!$G205&gt;=Listeler!$F$5,OR(Dashboard!$O$4="Tümü",'İzin Kayıtları'!$D205=Dashboard!$O$4))*1)</f>
        <v>2</v>
      </c>
    </row>
    <row r="202" customFormat="false" ht="15" hidden="false" customHeight="false" outlineLevel="0" collapsed="false">
      <c r="V202" s="0" t="n">
        <f aca="false">V201+(AND('İzin Kayıtları'!$I206="Onaylandı",'İzin Kayıtları'!$F206&lt;&gt;"",'İzin Kayıtları'!$F206&lt;=Listeler!$F$5,'İzin Kayıtları'!$G206&gt;=Listeler!$F$5,OR(Dashboard!$O$4="Tümü",'İzin Kayıtları'!$D206=Dashboard!$O$4))*1)</f>
        <v>2</v>
      </c>
    </row>
    <row r="203" customFormat="false" ht="15" hidden="false" customHeight="false" outlineLevel="0" collapsed="false">
      <c r="V203" s="0" t="n">
        <f aca="false">V202+(AND('İzin Kayıtları'!$I207="Onaylandı",'İzin Kayıtları'!$F207&lt;&gt;"",'İzin Kayıtları'!$F207&lt;=Listeler!$F$5,'İzin Kayıtları'!$G207&gt;=Listeler!$F$5,OR(Dashboard!$O$4="Tümü",'İzin Kayıtları'!$D207=Dashboard!$O$4))*1)</f>
        <v>2</v>
      </c>
    </row>
    <row r="204" customFormat="false" ht="15" hidden="false" customHeight="false" outlineLevel="0" collapsed="false">
      <c r="V204" s="0" t="n">
        <f aca="false">V203+(AND('İzin Kayıtları'!$I208="Onaylandı",'İzin Kayıtları'!$F208&lt;&gt;"",'İzin Kayıtları'!$F208&lt;=Listeler!$F$5,'İzin Kayıtları'!$G208&gt;=Listeler!$F$5,OR(Dashboard!$O$4="Tümü",'İzin Kayıtları'!$D208=Dashboard!$O$4))*1)</f>
        <v>2</v>
      </c>
    </row>
    <row r="205" customFormat="false" ht="15" hidden="false" customHeight="false" outlineLevel="0" collapsed="false">
      <c r="V205" s="0" t="n">
        <f aca="false">V204+(AND('İzin Kayıtları'!$I209="Onaylandı",'İzin Kayıtları'!$F209&lt;&gt;"",'İzin Kayıtları'!$F209&lt;=Listeler!$F$5,'İzin Kayıtları'!$G209&gt;=Listeler!$F$5,OR(Dashboard!$O$4="Tümü",'İzin Kayıtları'!$D209=Dashboard!$O$4))*1)</f>
        <v>2</v>
      </c>
    </row>
    <row r="206" customFormat="false" ht="15" hidden="false" customHeight="false" outlineLevel="0" collapsed="false">
      <c r="V206" s="0" t="n">
        <f aca="false">V205+(AND('İzin Kayıtları'!$I210="Onaylandı",'İzin Kayıtları'!$F210&lt;&gt;"",'İzin Kayıtları'!$F210&lt;=Listeler!$F$5,'İzin Kayıtları'!$G210&gt;=Listeler!$F$5,OR(Dashboard!$O$4="Tümü",'İzin Kayıtları'!$D210=Dashboard!$O$4))*1)</f>
        <v>2</v>
      </c>
    </row>
    <row r="207" customFormat="false" ht="15" hidden="false" customHeight="false" outlineLevel="0" collapsed="false">
      <c r="V207" s="0" t="n">
        <f aca="false">V206+(AND('İzin Kayıtları'!$I211="Onaylandı",'İzin Kayıtları'!$F211&lt;&gt;"",'İzin Kayıtları'!$F211&lt;=Listeler!$F$5,'İzin Kayıtları'!$G211&gt;=Listeler!$F$5,OR(Dashboard!$O$4="Tümü",'İzin Kayıtları'!$D211=Dashboard!$O$4))*1)</f>
        <v>2</v>
      </c>
    </row>
    <row r="208" customFormat="false" ht="15" hidden="false" customHeight="false" outlineLevel="0" collapsed="false">
      <c r="V208" s="0" t="n">
        <f aca="false">V207+(AND('İzin Kayıtları'!$I212="Onaylandı",'İzin Kayıtları'!$F212&lt;&gt;"",'İzin Kayıtları'!$F212&lt;=Listeler!$F$5,'İzin Kayıtları'!$G212&gt;=Listeler!$F$5,OR(Dashboard!$O$4="Tümü",'İzin Kayıtları'!$D212=Dashboard!$O$4))*1)</f>
        <v>2</v>
      </c>
    </row>
    <row r="209" customFormat="false" ht="15" hidden="false" customHeight="false" outlineLevel="0" collapsed="false">
      <c r="V209" s="0" t="n">
        <f aca="false">V208+(AND('İzin Kayıtları'!$I213="Onaylandı",'İzin Kayıtları'!$F213&lt;&gt;"",'İzin Kayıtları'!$F213&lt;=Listeler!$F$5,'İzin Kayıtları'!$G213&gt;=Listeler!$F$5,OR(Dashboard!$O$4="Tümü",'İzin Kayıtları'!$D213=Dashboard!$O$4))*1)</f>
        <v>2</v>
      </c>
    </row>
    <row r="210" customFormat="false" ht="15" hidden="false" customHeight="false" outlineLevel="0" collapsed="false">
      <c r="V210" s="0" t="n">
        <f aca="false">V209+(AND('İzin Kayıtları'!$I214="Onaylandı",'İzin Kayıtları'!$F214&lt;&gt;"",'İzin Kayıtları'!$F214&lt;=Listeler!$F$5,'İzin Kayıtları'!$G214&gt;=Listeler!$F$5,OR(Dashboard!$O$4="Tümü",'İzin Kayıtları'!$D214=Dashboard!$O$4))*1)</f>
        <v>2</v>
      </c>
    </row>
    <row r="211" customFormat="false" ht="15" hidden="false" customHeight="false" outlineLevel="0" collapsed="false">
      <c r="V211" s="0" t="n">
        <f aca="false">V210+(AND('İzin Kayıtları'!$I215="Onaylandı",'İzin Kayıtları'!$F215&lt;&gt;"",'İzin Kayıtları'!$F215&lt;=Listeler!$F$5,'İzin Kayıtları'!$G215&gt;=Listeler!$F$5,OR(Dashboard!$O$4="Tümü",'İzin Kayıtları'!$D215=Dashboard!$O$4))*1)</f>
        <v>2</v>
      </c>
    </row>
    <row r="212" customFormat="false" ht="15" hidden="false" customHeight="false" outlineLevel="0" collapsed="false">
      <c r="V212" s="0" t="n">
        <f aca="false">V211+(AND('İzin Kayıtları'!$I216="Onaylandı",'İzin Kayıtları'!$F216&lt;&gt;"",'İzin Kayıtları'!$F216&lt;=Listeler!$F$5,'İzin Kayıtları'!$G216&gt;=Listeler!$F$5,OR(Dashboard!$O$4="Tümü",'İzin Kayıtları'!$D216=Dashboard!$O$4))*1)</f>
        <v>2</v>
      </c>
    </row>
    <row r="213" customFormat="false" ht="15" hidden="false" customHeight="false" outlineLevel="0" collapsed="false">
      <c r="V213" s="0" t="n">
        <f aca="false">V212+(AND('İzin Kayıtları'!$I217="Onaylandı",'İzin Kayıtları'!$F217&lt;&gt;"",'İzin Kayıtları'!$F217&lt;=Listeler!$F$5,'İzin Kayıtları'!$G217&gt;=Listeler!$F$5,OR(Dashboard!$O$4="Tümü",'İzin Kayıtları'!$D217=Dashboard!$O$4))*1)</f>
        <v>2</v>
      </c>
    </row>
    <row r="214" customFormat="false" ht="15" hidden="false" customHeight="false" outlineLevel="0" collapsed="false">
      <c r="V214" s="0" t="n">
        <f aca="false">V213+(AND('İzin Kayıtları'!$I218="Onaylandı",'İzin Kayıtları'!$F218&lt;&gt;"",'İzin Kayıtları'!$F218&lt;=Listeler!$F$5,'İzin Kayıtları'!$G218&gt;=Listeler!$F$5,OR(Dashboard!$O$4="Tümü",'İzin Kayıtları'!$D218=Dashboard!$O$4))*1)</f>
        <v>2</v>
      </c>
    </row>
    <row r="215" customFormat="false" ht="15" hidden="false" customHeight="false" outlineLevel="0" collapsed="false">
      <c r="V215" s="0" t="n">
        <f aca="false">V214+(AND('İzin Kayıtları'!$I219="Onaylandı",'İzin Kayıtları'!$F219&lt;&gt;"",'İzin Kayıtları'!$F219&lt;=Listeler!$F$5,'İzin Kayıtları'!$G219&gt;=Listeler!$F$5,OR(Dashboard!$O$4="Tümü",'İzin Kayıtları'!$D219=Dashboard!$O$4))*1)</f>
        <v>2</v>
      </c>
    </row>
    <row r="216" customFormat="false" ht="15" hidden="false" customHeight="false" outlineLevel="0" collapsed="false">
      <c r="V216" s="0" t="n">
        <f aca="false">V215+(AND('İzin Kayıtları'!$I220="Onaylandı",'İzin Kayıtları'!$F220&lt;&gt;"",'İzin Kayıtları'!$F220&lt;=Listeler!$F$5,'İzin Kayıtları'!$G220&gt;=Listeler!$F$5,OR(Dashboard!$O$4="Tümü",'İzin Kayıtları'!$D220=Dashboard!$O$4))*1)</f>
        <v>2</v>
      </c>
    </row>
    <row r="217" customFormat="false" ht="15" hidden="false" customHeight="false" outlineLevel="0" collapsed="false">
      <c r="V217" s="0" t="n">
        <f aca="false">V216+(AND('İzin Kayıtları'!$I221="Onaylandı",'İzin Kayıtları'!$F221&lt;&gt;"",'İzin Kayıtları'!$F221&lt;=Listeler!$F$5,'İzin Kayıtları'!$G221&gt;=Listeler!$F$5,OR(Dashboard!$O$4="Tümü",'İzin Kayıtları'!$D221=Dashboard!$O$4))*1)</f>
        <v>2</v>
      </c>
    </row>
    <row r="218" customFormat="false" ht="15" hidden="false" customHeight="false" outlineLevel="0" collapsed="false">
      <c r="V218" s="0" t="n">
        <f aca="false">V217+(AND('İzin Kayıtları'!$I222="Onaylandı",'İzin Kayıtları'!$F222&lt;&gt;"",'İzin Kayıtları'!$F222&lt;=Listeler!$F$5,'İzin Kayıtları'!$G222&gt;=Listeler!$F$5,OR(Dashboard!$O$4="Tümü",'İzin Kayıtları'!$D222=Dashboard!$O$4))*1)</f>
        <v>2</v>
      </c>
    </row>
    <row r="219" customFormat="false" ht="15" hidden="false" customHeight="false" outlineLevel="0" collapsed="false">
      <c r="V219" s="0" t="n">
        <f aca="false">V218+(AND('İzin Kayıtları'!$I223="Onaylandı",'İzin Kayıtları'!$F223&lt;&gt;"",'İzin Kayıtları'!$F223&lt;=Listeler!$F$5,'İzin Kayıtları'!$G223&gt;=Listeler!$F$5,OR(Dashboard!$O$4="Tümü",'İzin Kayıtları'!$D223=Dashboard!$O$4))*1)</f>
        <v>2</v>
      </c>
    </row>
    <row r="220" customFormat="false" ht="15" hidden="false" customHeight="false" outlineLevel="0" collapsed="false">
      <c r="V220" s="0" t="n">
        <f aca="false">V219+(AND('İzin Kayıtları'!$I224="Onaylandı",'İzin Kayıtları'!$F224&lt;&gt;"",'İzin Kayıtları'!$F224&lt;=Listeler!$F$5,'İzin Kayıtları'!$G224&gt;=Listeler!$F$5,OR(Dashboard!$O$4="Tümü",'İzin Kayıtları'!$D224=Dashboard!$O$4))*1)</f>
        <v>2</v>
      </c>
    </row>
    <row r="221" customFormat="false" ht="15" hidden="false" customHeight="false" outlineLevel="0" collapsed="false">
      <c r="V221" s="0" t="n">
        <f aca="false">V220+(AND('İzin Kayıtları'!$I225="Onaylandı",'İzin Kayıtları'!$F225&lt;&gt;"",'İzin Kayıtları'!$F225&lt;=Listeler!$F$5,'İzin Kayıtları'!$G225&gt;=Listeler!$F$5,OR(Dashboard!$O$4="Tümü",'İzin Kayıtları'!$D225=Dashboard!$O$4))*1)</f>
        <v>2</v>
      </c>
    </row>
    <row r="222" customFormat="false" ht="15" hidden="false" customHeight="false" outlineLevel="0" collapsed="false">
      <c r="V222" s="0" t="n">
        <f aca="false">V221+(AND('İzin Kayıtları'!$I226="Onaylandı",'İzin Kayıtları'!$F226&lt;&gt;"",'İzin Kayıtları'!$F226&lt;=Listeler!$F$5,'İzin Kayıtları'!$G226&gt;=Listeler!$F$5,OR(Dashboard!$O$4="Tümü",'İzin Kayıtları'!$D226=Dashboard!$O$4))*1)</f>
        <v>2</v>
      </c>
    </row>
    <row r="223" customFormat="false" ht="15" hidden="false" customHeight="false" outlineLevel="0" collapsed="false">
      <c r="V223" s="0" t="n">
        <f aca="false">V222+(AND('İzin Kayıtları'!$I227="Onaylandı",'İzin Kayıtları'!$F227&lt;&gt;"",'İzin Kayıtları'!$F227&lt;=Listeler!$F$5,'İzin Kayıtları'!$G227&gt;=Listeler!$F$5,OR(Dashboard!$O$4="Tümü",'İzin Kayıtları'!$D227=Dashboard!$O$4))*1)</f>
        <v>2</v>
      </c>
    </row>
    <row r="224" customFormat="false" ht="15" hidden="false" customHeight="false" outlineLevel="0" collapsed="false">
      <c r="V224" s="0" t="n">
        <f aca="false">V223+(AND('İzin Kayıtları'!$I228="Onaylandı",'İzin Kayıtları'!$F228&lt;&gt;"",'İzin Kayıtları'!$F228&lt;=Listeler!$F$5,'İzin Kayıtları'!$G228&gt;=Listeler!$F$5,OR(Dashboard!$O$4="Tümü",'İzin Kayıtları'!$D228=Dashboard!$O$4))*1)</f>
        <v>2</v>
      </c>
    </row>
    <row r="225" customFormat="false" ht="15" hidden="false" customHeight="false" outlineLevel="0" collapsed="false">
      <c r="V225" s="0" t="n">
        <f aca="false">V224+(AND('İzin Kayıtları'!$I229="Onaylandı",'İzin Kayıtları'!$F229&lt;&gt;"",'İzin Kayıtları'!$F229&lt;=Listeler!$F$5,'İzin Kayıtları'!$G229&gt;=Listeler!$F$5,OR(Dashboard!$O$4="Tümü",'İzin Kayıtları'!$D229=Dashboard!$O$4))*1)</f>
        <v>2</v>
      </c>
    </row>
    <row r="226" customFormat="false" ht="15" hidden="false" customHeight="false" outlineLevel="0" collapsed="false">
      <c r="V226" s="0" t="n">
        <f aca="false">V225+(AND('İzin Kayıtları'!$I230="Onaylandı",'İzin Kayıtları'!$F230&lt;&gt;"",'İzin Kayıtları'!$F230&lt;=Listeler!$F$5,'İzin Kayıtları'!$G230&gt;=Listeler!$F$5,OR(Dashboard!$O$4="Tümü",'İzin Kayıtları'!$D230=Dashboard!$O$4))*1)</f>
        <v>2</v>
      </c>
    </row>
    <row r="227" customFormat="false" ht="15" hidden="false" customHeight="false" outlineLevel="0" collapsed="false">
      <c r="V227" s="0" t="n">
        <f aca="false">V226+(AND('İzin Kayıtları'!$I231="Onaylandı",'İzin Kayıtları'!$F231&lt;&gt;"",'İzin Kayıtları'!$F231&lt;=Listeler!$F$5,'İzin Kayıtları'!$G231&gt;=Listeler!$F$5,OR(Dashboard!$O$4="Tümü",'İzin Kayıtları'!$D231=Dashboard!$O$4))*1)</f>
        <v>2</v>
      </c>
    </row>
    <row r="228" customFormat="false" ht="15" hidden="false" customHeight="false" outlineLevel="0" collapsed="false">
      <c r="V228" s="0" t="n">
        <f aca="false">V227+(AND('İzin Kayıtları'!$I232="Onaylandı",'İzin Kayıtları'!$F232&lt;&gt;"",'İzin Kayıtları'!$F232&lt;=Listeler!$F$5,'İzin Kayıtları'!$G232&gt;=Listeler!$F$5,OR(Dashboard!$O$4="Tümü",'İzin Kayıtları'!$D232=Dashboard!$O$4))*1)</f>
        <v>2</v>
      </c>
    </row>
    <row r="229" customFormat="false" ht="15" hidden="false" customHeight="false" outlineLevel="0" collapsed="false">
      <c r="V229" s="0" t="n">
        <f aca="false">V228+(AND('İzin Kayıtları'!$I233="Onaylandı",'İzin Kayıtları'!$F233&lt;&gt;"",'İzin Kayıtları'!$F233&lt;=Listeler!$F$5,'İzin Kayıtları'!$G233&gt;=Listeler!$F$5,OR(Dashboard!$O$4="Tümü",'İzin Kayıtları'!$D233=Dashboard!$O$4))*1)</f>
        <v>2</v>
      </c>
    </row>
    <row r="230" customFormat="false" ht="15" hidden="false" customHeight="false" outlineLevel="0" collapsed="false">
      <c r="V230" s="0" t="n">
        <f aca="false">V229+(AND('İzin Kayıtları'!$I234="Onaylandı",'İzin Kayıtları'!$F234&lt;&gt;"",'İzin Kayıtları'!$F234&lt;=Listeler!$F$5,'İzin Kayıtları'!$G234&gt;=Listeler!$F$5,OR(Dashboard!$O$4="Tümü",'İzin Kayıtları'!$D234=Dashboard!$O$4))*1)</f>
        <v>2</v>
      </c>
    </row>
    <row r="231" customFormat="false" ht="15" hidden="false" customHeight="false" outlineLevel="0" collapsed="false">
      <c r="V231" s="0" t="n">
        <f aca="false">V230+(AND('İzin Kayıtları'!$I235="Onaylandı",'İzin Kayıtları'!$F235&lt;&gt;"",'İzin Kayıtları'!$F235&lt;=Listeler!$F$5,'İzin Kayıtları'!$G235&gt;=Listeler!$F$5,OR(Dashboard!$O$4="Tümü",'İzin Kayıtları'!$D235=Dashboard!$O$4))*1)</f>
        <v>2</v>
      </c>
    </row>
    <row r="232" customFormat="false" ht="15" hidden="false" customHeight="false" outlineLevel="0" collapsed="false">
      <c r="V232" s="0" t="n">
        <f aca="false">V231+(AND('İzin Kayıtları'!$I236="Onaylandı",'İzin Kayıtları'!$F236&lt;&gt;"",'İzin Kayıtları'!$F236&lt;=Listeler!$F$5,'İzin Kayıtları'!$G236&gt;=Listeler!$F$5,OR(Dashboard!$O$4="Tümü",'İzin Kayıtları'!$D236=Dashboard!$O$4))*1)</f>
        <v>2</v>
      </c>
    </row>
    <row r="233" customFormat="false" ht="15" hidden="false" customHeight="false" outlineLevel="0" collapsed="false">
      <c r="V233" s="0" t="n">
        <f aca="false">V232+(AND('İzin Kayıtları'!$I237="Onaylandı",'İzin Kayıtları'!$F237&lt;&gt;"",'İzin Kayıtları'!$F237&lt;=Listeler!$F$5,'İzin Kayıtları'!$G237&gt;=Listeler!$F$5,OR(Dashboard!$O$4="Tümü",'İzin Kayıtları'!$D237=Dashboard!$O$4))*1)</f>
        <v>2</v>
      </c>
    </row>
    <row r="234" customFormat="false" ht="15" hidden="false" customHeight="false" outlineLevel="0" collapsed="false">
      <c r="V234" s="0" t="n">
        <f aca="false">V233+(AND('İzin Kayıtları'!$I238="Onaylandı",'İzin Kayıtları'!$F238&lt;&gt;"",'İzin Kayıtları'!$F238&lt;=Listeler!$F$5,'İzin Kayıtları'!$G238&gt;=Listeler!$F$5,OR(Dashboard!$O$4="Tümü",'İzin Kayıtları'!$D238=Dashboard!$O$4))*1)</f>
        <v>2</v>
      </c>
    </row>
    <row r="235" customFormat="false" ht="15" hidden="false" customHeight="false" outlineLevel="0" collapsed="false">
      <c r="V235" s="0" t="n">
        <f aca="false">V234+(AND('İzin Kayıtları'!$I239="Onaylandı",'İzin Kayıtları'!$F239&lt;&gt;"",'İzin Kayıtları'!$F239&lt;=Listeler!$F$5,'İzin Kayıtları'!$G239&gt;=Listeler!$F$5,OR(Dashboard!$O$4="Tümü",'İzin Kayıtları'!$D239=Dashboard!$O$4))*1)</f>
        <v>2</v>
      </c>
    </row>
    <row r="236" customFormat="false" ht="15" hidden="false" customHeight="false" outlineLevel="0" collapsed="false">
      <c r="V236" s="0" t="n">
        <f aca="false">V235+(AND('İzin Kayıtları'!$I240="Onaylandı",'İzin Kayıtları'!$F240&lt;&gt;"",'İzin Kayıtları'!$F240&lt;=Listeler!$F$5,'İzin Kayıtları'!$G240&gt;=Listeler!$F$5,OR(Dashboard!$O$4="Tümü",'İzin Kayıtları'!$D240=Dashboard!$O$4))*1)</f>
        <v>2</v>
      </c>
    </row>
    <row r="237" customFormat="false" ht="15" hidden="false" customHeight="false" outlineLevel="0" collapsed="false">
      <c r="V237" s="0" t="n">
        <f aca="false">V236+(AND('İzin Kayıtları'!$I241="Onaylandı",'İzin Kayıtları'!$F241&lt;&gt;"",'İzin Kayıtları'!$F241&lt;=Listeler!$F$5,'İzin Kayıtları'!$G241&gt;=Listeler!$F$5,OR(Dashboard!$O$4="Tümü",'İzin Kayıtları'!$D241=Dashboard!$O$4))*1)</f>
        <v>2</v>
      </c>
    </row>
    <row r="238" customFormat="false" ht="15" hidden="false" customHeight="false" outlineLevel="0" collapsed="false">
      <c r="V238" s="0" t="n">
        <f aca="false">V237+(AND('İzin Kayıtları'!$I242="Onaylandı",'İzin Kayıtları'!$F242&lt;&gt;"",'İzin Kayıtları'!$F242&lt;=Listeler!$F$5,'İzin Kayıtları'!$G242&gt;=Listeler!$F$5,OR(Dashboard!$O$4="Tümü",'İzin Kayıtları'!$D242=Dashboard!$O$4))*1)</f>
        <v>2</v>
      </c>
    </row>
    <row r="239" customFormat="false" ht="15" hidden="false" customHeight="false" outlineLevel="0" collapsed="false">
      <c r="V239" s="0" t="n">
        <f aca="false">V238+(AND('İzin Kayıtları'!$I243="Onaylandı",'İzin Kayıtları'!$F243&lt;&gt;"",'İzin Kayıtları'!$F243&lt;=Listeler!$F$5,'İzin Kayıtları'!$G243&gt;=Listeler!$F$5,OR(Dashboard!$O$4="Tümü",'İzin Kayıtları'!$D243=Dashboard!$O$4))*1)</f>
        <v>2</v>
      </c>
    </row>
    <row r="240" customFormat="false" ht="15" hidden="false" customHeight="false" outlineLevel="0" collapsed="false">
      <c r="V240" s="0" t="n">
        <f aca="false">V239+(AND('İzin Kayıtları'!$I244="Onaylandı",'İzin Kayıtları'!$F244&lt;&gt;"",'İzin Kayıtları'!$F244&lt;=Listeler!$F$5,'İzin Kayıtları'!$G244&gt;=Listeler!$F$5,OR(Dashboard!$O$4="Tümü",'İzin Kayıtları'!$D244=Dashboard!$O$4))*1)</f>
        <v>2</v>
      </c>
    </row>
    <row r="241" customFormat="false" ht="15" hidden="false" customHeight="false" outlineLevel="0" collapsed="false">
      <c r="V241" s="0" t="n">
        <f aca="false">V240+(AND('İzin Kayıtları'!$I245="Onaylandı",'İzin Kayıtları'!$F245&lt;&gt;"",'İzin Kayıtları'!$F245&lt;=Listeler!$F$5,'İzin Kayıtları'!$G245&gt;=Listeler!$F$5,OR(Dashboard!$O$4="Tümü",'İzin Kayıtları'!$D245=Dashboard!$O$4))*1)</f>
        <v>2</v>
      </c>
    </row>
    <row r="242" customFormat="false" ht="15" hidden="false" customHeight="false" outlineLevel="0" collapsed="false">
      <c r="V242" s="0" t="n">
        <f aca="false">V241+(AND('İzin Kayıtları'!$I246="Onaylandı",'İzin Kayıtları'!$F246&lt;&gt;"",'İzin Kayıtları'!$F246&lt;=Listeler!$F$5,'İzin Kayıtları'!$G246&gt;=Listeler!$F$5,OR(Dashboard!$O$4="Tümü",'İzin Kayıtları'!$D246=Dashboard!$O$4))*1)</f>
        <v>2</v>
      </c>
    </row>
    <row r="243" customFormat="false" ht="15" hidden="false" customHeight="false" outlineLevel="0" collapsed="false">
      <c r="V243" s="0" t="n">
        <f aca="false">V242+(AND('İzin Kayıtları'!$I247="Onaylandı",'İzin Kayıtları'!$F247&lt;&gt;"",'İzin Kayıtları'!$F247&lt;=Listeler!$F$5,'İzin Kayıtları'!$G247&gt;=Listeler!$F$5,OR(Dashboard!$O$4="Tümü",'İzin Kayıtları'!$D247=Dashboard!$O$4))*1)</f>
        <v>2</v>
      </c>
    </row>
    <row r="244" customFormat="false" ht="15" hidden="false" customHeight="false" outlineLevel="0" collapsed="false">
      <c r="V244" s="0" t="n">
        <f aca="false">V243+(AND('İzin Kayıtları'!$I248="Onaylandı",'İzin Kayıtları'!$F248&lt;&gt;"",'İzin Kayıtları'!$F248&lt;=Listeler!$F$5,'İzin Kayıtları'!$G248&gt;=Listeler!$F$5,OR(Dashboard!$O$4="Tümü",'İzin Kayıtları'!$D248=Dashboard!$O$4))*1)</f>
        <v>2</v>
      </c>
    </row>
    <row r="245" customFormat="false" ht="15" hidden="false" customHeight="false" outlineLevel="0" collapsed="false">
      <c r="V245" s="0" t="n">
        <f aca="false">V244+(AND('İzin Kayıtları'!$I249="Onaylandı",'İzin Kayıtları'!$F249&lt;&gt;"",'İzin Kayıtları'!$F249&lt;=Listeler!$F$5,'İzin Kayıtları'!$G249&gt;=Listeler!$F$5,OR(Dashboard!$O$4="Tümü",'İzin Kayıtları'!$D249=Dashboard!$O$4))*1)</f>
        <v>2</v>
      </c>
    </row>
    <row r="246" customFormat="false" ht="15" hidden="false" customHeight="false" outlineLevel="0" collapsed="false">
      <c r="V246" s="0" t="n">
        <f aca="false">V245+(AND('İzin Kayıtları'!$I250="Onaylandı",'İzin Kayıtları'!$F250&lt;&gt;"",'İzin Kayıtları'!$F250&lt;=Listeler!$F$5,'İzin Kayıtları'!$G250&gt;=Listeler!$F$5,OR(Dashboard!$O$4="Tümü",'İzin Kayıtları'!$D250=Dashboard!$O$4))*1)</f>
        <v>2</v>
      </c>
    </row>
    <row r="247" customFormat="false" ht="15" hidden="false" customHeight="false" outlineLevel="0" collapsed="false">
      <c r="V247" s="0" t="n">
        <f aca="false">V246+(AND('İzin Kayıtları'!$I251="Onaylandı",'İzin Kayıtları'!$F251&lt;&gt;"",'İzin Kayıtları'!$F251&lt;=Listeler!$F$5,'İzin Kayıtları'!$G251&gt;=Listeler!$F$5,OR(Dashboard!$O$4="Tümü",'İzin Kayıtları'!$D251=Dashboard!$O$4))*1)</f>
        <v>2</v>
      </c>
    </row>
    <row r="248" customFormat="false" ht="15" hidden="false" customHeight="false" outlineLevel="0" collapsed="false">
      <c r="V248" s="0" t="n">
        <f aca="false">V247+(AND('İzin Kayıtları'!$I252="Onaylandı",'İzin Kayıtları'!$F252&lt;&gt;"",'İzin Kayıtları'!$F252&lt;=Listeler!$F$5,'İzin Kayıtları'!$G252&gt;=Listeler!$F$5,OR(Dashboard!$O$4="Tümü",'İzin Kayıtları'!$D252=Dashboard!$O$4))*1)</f>
        <v>2</v>
      </c>
    </row>
    <row r="249" customFormat="false" ht="15" hidden="false" customHeight="false" outlineLevel="0" collapsed="false">
      <c r="V249" s="0" t="n">
        <f aca="false">V248+(AND('İzin Kayıtları'!$I253="Onaylandı",'İzin Kayıtları'!$F253&lt;&gt;"",'İzin Kayıtları'!$F253&lt;=Listeler!$F$5,'İzin Kayıtları'!$G253&gt;=Listeler!$F$5,OR(Dashboard!$O$4="Tümü",'İzin Kayıtları'!$D253=Dashboard!$O$4))*1)</f>
        <v>2</v>
      </c>
    </row>
    <row r="250" customFormat="false" ht="15" hidden="false" customHeight="false" outlineLevel="0" collapsed="false">
      <c r="V250" s="0" t="n">
        <f aca="false">V249+(AND('İzin Kayıtları'!$I254="Onaylandı",'İzin Kayıtları'!$F254&lt;&gt;"",'İzin Kayıtları'!$F254&lt;=Listeler!$F$5,'İzin Kayıtları'!$G254&gt;=Listeler!$F$5,OR(Dashboard!$O$4="Tümü",'İzin Kayıtları'!$D254=Dashboard!$O$4))*1)</f>
        <v>2</v>
      </c>
    </row>
    <row r="251" customFormat="false" ht="15" hidden="false" customHeight="false" outlineLevel="0" collapsed="false">
      <c r="V251" s="0" t="n">
        <f aca="false">V250+(AND('İzin Kayıtları'!$I255="Onaylandı",'İzin Kayıtları'!$F255&lt;&gt;"",'İzin Kayıtları'!$F255&lt;=Listeler!$F$5,'İzin Kayıtları'!$G255&gt;=Listeler!$F$5,OR(Dashboard!$O$4="Tümü",'İzin Kayıtları'!$D255=Dashboard!$O$4))*1)</f>
        <v>2</v>
      </c>
    </row>
    <row r="252" customFormat="false" ht="15" hidden="false" customHeight="false" outlineLevel="0" collapsed="false">
      <c r="V252" s="0" t="n">
        <f aca="false">V251+(AND('İzin Kayıtları'!$I256="Onaylandı",'İzin Kayıtları'!$F256&lt;&gt;"",'İzin Kayıtları'!$F256&lt;=Listeler!$F$5,'İzin Kayıtları'!$G256&gt;=Listeler!$F$5,OR(Dashboard!$O$4="Tümü",'İzin Kayıtları'!$D256=Dashboard!$O$4))*1)</f>
        <v>2</v>
      </c>
    </row>
    <row r="253" customFormat="false" ht="15" hidden="false" customHeight="false" outlineLevel="0" collapsed="false">
      <c r="V253" s="0" t="n">
        <f aca="false">V252+(AND('İzin Kayıtları'!$I257="Onaylandı",'İzin Kayıtları'!$F257&lt;&gt;"",'İzin Kayıtları'!$F257&lt;=Listeler!$F$5,'İzin Kayıtları'!$G257&gt;=Listeler!$F$5,OR(Dashboard!$O$4="Tümü",'İzin Kayıtları'!$D257=Dashboard!$O$4))*1)</f>
        <v>2</v>
      </c>
    </row>
    <row r="254" customFormat="false" ht="15" hidden="false" customHeight="false" outlineLevel="0" collapsed="false">
      <c r="V254" s="0" t="n">
        <f aca="false">V253+(AND('İzin Kayıtları'!$I258="Onaylandı",'İzin Kayıtları'!$F258&lt;&gt;"",'İzin Kayıtları'!$F258&lt;=Listeler!$F$5,'İzin Kayıtları'!$G258&gt;=Listeler!$F$5,OR(Dashboard!$O$4="Tümü",'İzin Kayıtları'!$D258=Dashboard!$O$4))*1)</f>
        <v>2</v>
      </c>
    </row>
    <row r="255" customFormat="false" ht="15" hidden="false" customHeight="false" outlineLevel="0" collapsed="false">
      <c r="V255" s="0" t="n">
        <f aca="false">V254+(AND('İzin Kayıtları'!$I259="Onaylandı",'İzin Kayıtları'!$F259&lt;&gt;"",'İzin Kayıtları'!$F259&lt;=Listeler!$F$5,'İzin Kayıtları'!$G259&gt;=Listeler!$F$5,OR(Dashboard!$O$4="Tümü",'İzin Kayıtları'!$D259=Dashboard!$O$4))*1)</f>
        <v>2</v>
      </c>
    </row>
    <row r="256" customFormat="false" ht="15" hidden="false" customHeight="false" outlineLevel="0" collapsed="false">
      <c r="V256" s="0" t="n">
        <f aca="false">V255+(AND('İzin Kayıtları'!$I260="Onaylandı",'İzin Kayıtları'!$F260&lt;&gt;"",'İzin Kayıtları'!$F260&lt;=Listeler!$F$5,'İzin Kayıtları'!$G260&gt;=Listeler!$F$5,OR(Dashboard!$O$4="Tümü",'İzin Kayıtları'!$D260=Dashboard!$O$4))*1)</f>
        <v>2</v>
      </c>
    </row>
    <row r="257" customFormat="false" ht="15" hidden="false" customHeight="false" outlineLevel="0" collapsed="false">
      <c r="V257" s="0" t="n">
        <f aca="false">V256+(AND('İzin Kayıtları'!$I261="Onaylandı",'İzin Kayıtları'!$F261&lt;&gt;"",'İzin Kayıtları'!$F261&lt;=Listeler!$F$5,'İzin Kayıtları'!$G261&gt;=Listeler!$F$5,OR(Dashboard!$O$4="Tümü",'İzin Kayıtları'!$D261=Dashboard!$O$4))*1)</f>
        <v>2</v>
      </c>
    </row>
    <row r="258" customFormat="false" ht="15" hidden="false" customHeight="false" outlineLevel="0" collapsed="false">
      <c r="V258" s="0" t="n">
        <f aca="false">V257+(AND('İzin Kayıtları'!$I262="Onaylandı",'İzin Kayıtları'!$F262&lt;&gt;"",'İzin Kayıtları'!$F262&lt;=Listeler!$F$5,'İzin Kayıtları'!$G262&gt;=Listeler!$F$5,OR(Dashboard!$O$4="Tümü",'İzin Kayıtları'!$D262=Dashboard!$O$4))*1)</f>
        <v>2</v>
      </c>
    </row>
    <row r="259" customFormat="false" ht="15" hidden="false" customHeight="false" outlineLevel="0" collapsed="false">
      <c r="V259" s="0" t="n">
        <f aca="false">V258+(AND('İzin Kayıtları'!$I263="Onaylandı",'İzin Kayıtları'!$F263&lt;&gt;"",'İzin Kayıtları'!$F263&lt;=Listeler!$F$5,'İzin Kayıtları'!$G263&gt;=Listeler!$F$5,OR(Dashboard!$O$4="Tümü",'İzin Kayıtları'!$D263=Dashboard!$O$4))*1)</f>
        <v>2</v>
      </c>
    </row>
    <row r="260" customFormat="false" ht="15" hidden="false" customHeight="false" outlineLevel="0" collapsed="false">
      <c r="V260" s="0" t="n">
        <f aca="false">V259+(AND('İzin Kayıtları'!$I264="Onaylandı",'İzin Kayıtları'!$F264&lt;&gt;"",'İzin Kayıtları'!$F264&lt;=Listeler!$F$5,'İzin Kayıtları'!$G264&gt;=Listeler!$F$5,OR(Dashboard!$O$4="Tümü",'İzin Kayıtları'!$D264=Dashboard!$O$4))*1)</f>
        <v>2</v>
      </c>
    </row>
    <row r="261" customFormat="false" ht="15" hidden="false" customHeight="false" outlineLevel="0" collapsed="false">
      <c r="V261" s="0" t="n">
        <f aca="false">V260+(AND('İzin Kayıtları'!$I265="Onaylandı",'İzin Kayıtları'!$F265&lt;&gt;"",'İzin Kayıtları'!$F265&lt;=Listeler!$F$5,'İzin Kayıtları'!$G265&gt;=Listeler!$F$5,OR(Dashboard!$O$4="Tümü",'İzin Kayıtları'!$D265=Dashboard!$O$4))*1)</f>
        <v>2</v>
      </c>
    </row>
    <row r="262" customFormat="false" ht="15" hidden="false" customHeight="false" outlineLevel="0" collapsed="false">
      <c r="V262" s="0" t="n">
        <f aca="false">V261+(AND('İzin Kayıtları'!$I266="Onaylandı",'İzin Kayıtları'!$F266&lt;&gt;"",'İzin Kayıtları'!$F266&lt;=Listeler!$F$5,'İzin Kayıtları'!$G266&gt;=Listeler!$F$5,OR(Dashboard!$O$4="Tümü",'İzin Kayıtları'!$D266=Dashboard!$O$4))*1)</f>
        <v>2</v>
      </c>
    </row>
    <row r="263" customFormat="false" ht="15" hidden="false" customHeight="false" outlineLevel="0" collapsed="false">
      <c r="V263" s="0" t="n">
        <f aca="false">V262+(AND('İzin Kayıtları'!$I267="Onaylandı",'İzin Kayıtları'!$F267&lt;&gt;"",'İzin Kayıtları'!$F267&lt;=Listeler!$F$5,'İzin Kayıtları'!$G267&gt;=Listeler!$F$5,OR(Dashboard!$O$4="Tümü",'İzin Kayıtları'!$D267=Dashboard!$O$4))*1)</f>
        <v>2</v>
      </c>
    </row>
    <row r="264" customFormat="false" ht="15" hidden="false" customHeight="false" outlineLevel="0" collapsed="false">
      <c r="V264" s="0" t="n">
        <f aca="false">V263+(AND('İzin Kayıtları'!$I268="Onaylandı",'İzin Kayıtları'!$F268&lt;&gt;"",'İzin Kayıtları'!$F268&lt;=Listeler!$F$5,'İzin Kayıtları'!$G268&gt;=Listeler!$F$5,OR(Dashboard!$O$4="Tümü",'İzin Kayıtları'!$D268=Dashboard!$O$4))*1)</f>
        <v>2</v>
      </c>
    </row>
    <row r="265" customFormat="false" ht="15" hidden="false" customHeight="false" outlineLevel="0" collapsed="false">
      <c r="V265" s="0" t="n">
        <f aca="false">V264+(AND('İzin Kayıtları'!$I269="Onaylandı",'İzin Kayıtları'!$F269&lt;&gt;"",'İzin Kayıtları'!$F269&lt;=Listeler!$F$5,'İzin Kayıtları'!$G269&gt;=Listeler!$F$5,OR(Dashboard!$O$4="Tümü",'İzin Kayıtları'!$D269=Dashboard!$O$4))*1)</f>
        <v>2</v>
      </c>
    </row>
    <row r="266" customFormat="false" ht="15" hidden="false" customHeight="false" outlineLevel="0" collapsed="false">
      <c r="V266" s="0" t="n">
        <f aca="false">V265+(AND('İzin Kayıtları'!$I270="Onaylandı",'İzin Kayıtları'!$F270&lt;&gt;"",'İzin Kayıtları'!$F270&lt;=Listeler!$F$5,'İzin Kayıtları'!$G270&gt;=Listeler!$F$5,OR(Dashboard!$O$4="Tümü",'İzin Kayıtları'!$D270=Dashboard!$O$4))*1)</f>
        <v>2</v>
      </c>
    </row>
    <row r="267" customFormat="false" ht="15" hidden="false" customHeight="false" outlineLevel="0" collapsed="false">
      <c r="V267" s="0" t="n">
        <f aca="false">V266+(AND('İzin Kayıtları'!$I271="Onaylandı",'İzin Kayıtları'!$F271&lt;&gt;"",'İzin Kayıtları'!$F271&lt;=Listeler!$F$5,'İzin Kayıtları'!$G271&gt;=Listeler!$F$5,OR(Dashboard!$O$4="Tümü",'İzin Kayıtları'!$D271=Dashboard!$O$4))*1)</f>
        <v>2</v>
      </c>
    </row>
    <row r="268" customFormat="false" ht="15" hidden="false" customHeight="false" outlineLevel="0" collapsed="false">
      <c r="V268" s="0" t="n">
        <f aca="false">V267+(AND('İzin Kayıtları'!$I272="Onaylandı",'İzin Kayıtları'!$F272&lt;&gt;"",'İzin Kayıtları'!$F272&lt;=Listeler!$F$5,'İzin Kayıtları'!$G272&gt;=Listeler!$F$5,OR(Dashboard!$O$4="Tümü",'İzin Kayıtları'!$D272=Dashboard!$O$4))*1)</f>
        <v>2</v>
      </c>
    </row>
    <row r="269" customFormat="false" ht="15" hidden="false" customHeight="false" outlineLevel="0" collapsed="false">
      <c r="V269" s="0" t="n">
        <f aca="false">V268+(AND('İzin Kayıtları'!$I273="Onaylandı",'İzin Kayıtları'!$F273&lt;&gt;"",'İzin Kayıtları'!$F273&lt;=Listeler!$F$5,'İzin Kayıtları'!$G273&gt;=Listeler!$F$5,OR(Dashboard!$O$4="Tümü",'İzin Kayıtları'!$D273=Dashboard!$O$4))*1)</f>
        <v>2</v>
      </c>
    </row>
    <row r="270" customFormat="false" ht="15" hidden="false" customHeight="false" outlineLevel="0" collapsed="false">
      <c r="V270" s="0" t="n">
        <f aca="false">V269+(AND('İzin Kayıtları'!$I274="Onaylandı",'İzin Kayıtları'!$F274&lt;&gt;"",'İzin Kayıtları'!$F274&lt;=Listeler!$F$5,'İzin Kayıtları'!$G274&gt;=Listeler!$F$5,OR(Dashboard!$O$4="Tümü",'İzin Kayıtları'!$D274=Dashboard!$O$4))*1)</f>
        <v>2</v>
      </c>
    </row>
    <row r="271" customFormat="false" ht="15" hidden="false" customHeight="false" outlineLevel="0" collapsed="false">
      <c r="V271" s="0" t="n">
        <f aca="false">V270+(AND('İzin Kayıtları'!$I275="Onaylandı",'İzin Kayıtları'!$F275&lt;&gt;"",'İzin Kayıtları'!$F275&lt;=Listeler!$F$5,'İzin Kayıtları'!$G275&gt;=Listeler!$F$5,OR(Dashboard!$O$4="Tümü",'İzin Kayıtları'!$D275=Dashboard!$O$4))*1)</f>
        <v>2</v>
      </c>
    </row>
    <row r="272" customFormat="false" ht="15" hidden="false" customHeight="false" outlineLevel="0" collapsed="false">
      <c r="V272" s="0" t="n">
        <f aca="false">V271+(AND('İzin Kayıtları'!$I276="Onaylandı",'İzin Kayıtları'!$F276&lt;&gt;"",'İzin Kayıtları'!$F276&lt;=Listeler!$F$5,'İzin Kayıtları'!$G276&gt;=Listeler!$F$5,OR(Dashboard!$O$4="Tümü",'İzin Kayıtları'!$D276=Dashboard!$O$4))*1)</f>
        <v>2</v>
      </c>
    </row>
    <row r="273" customFormat="false" ht="15" hidden="false" customHeight="false" outlineLevel="0" collapsed="false">
      <c r="V273" s="0" t="n">
        <f aca="false">V272+(AND('İzin Kayıtları'!$I277="Onaylandı",'İzin Kayıtları'!$F277&lt;&gt;"",'İzin Kayıtları'!$F277&lt;=Listeler!$F$5,'İzin Kayıtları'!$G277&gt;=Listeler!$F$5,OR(Dashboard!$O$4="Tümü",'İzin Kayıtları'!$D277=Dashboard!$O$4))*1)</f>
        <v>2</v>
      </c>
    </row>
    <row r="274" customFormat="false" ht="15" hidden="false" customHeight="false" outlineLevel="0" collapsed="false">
      <c r="V274" s="0" t="n">
        <f aca="false">V273+(AND('İzin Kayıtları'!$I278="Onaylandı",'İzin Kayıtları'!$F278&lt;&gt;"",'İzin Kayıtları'!$F278&lt;=Listeler!$F$5,'İzin Kayıtları'!$G278&gt;=Listeler!$F$5,OR(Dashboard!$O$4="Tümü",'İzin Kayıtları'!$D278=Dashboard!$O$4))*1)</f>
        <v>2</v>
      </c>
    </row>
    <row r="275" customFormat="false" ht="15" hidden="false" customHeight="false" outlineLevel="0" collapsed="false">
      <c r="V275" s="0" t="n">
        <f aca="false">V274+(AND('İzin Kayıtları'!$I279="Onaylandı",'İzin Kayıtları'!$F279&lt;&gt;"",'İzin Kayıtları'!$F279&lt;=Listeler!$F$5,'İzin Kayıtları'!$G279&gt;=Listeler!$F$5,OR(Dashboard!$O$4="Tümü",'İzin Kayıtları'!$D279=Dashboard!$O$4))*1)</f>
        <v>2</v>
      </c>
    </row>
    <row r="276" customFormat="false" ht="15" hidden="false" customHeight="false" outlineLevel="0" collapsed="false">
      <c r="V276" s="0" t="n">
        <f aca="false">V275+(AND('İzin Kayıtları'!$I280="Onaylandı",'İzin Kayıtları'!$F280&lt;&gt;"",'İzin Kayıtları'!$F280&lt;=Listeler!$F$5,'İzin Kayıtları'!$G280&gt;=Listeler!$F$5,OR(Dashboard!$O$4="Tümü",'İzin Kayıtları'!$D280=Dashboard!$O$4))*1)</f>
        <v>2</v>
      </c>
    </row>
    <row r="277" customFormat="false" ht="15" hidden="false" customHeight="false" outlineLevel="0" collapsed="false">
      <c r="V277" s="0" t="n">
        <f aca="false">V276+(AND('İzin Kayıtları'!$I281="Onaylandı",'İzin Kayıtları'!$F281&lt;&gt;"",'İzin Kayıtları'!$F281&lt;=Listeler!$F$5,'İzin Kayıtları'!$G281&gt;=Listeler!$F$5,OR(Dashboard!$O$4="Tümü",'İzin Kayıtları'!$D281=Dashboard!$O$4))*1)</f>
        <v>2</v>
      </c>
    </row>
    <row r="278" customFormat="false" ht="15" hidden="false" customHeight="false" outlineLevel="0" collapsed="false">
      <c r="V278" s="0" t="n">
        <f aca="false">V277+(AND('İzin Kayıtları'!$I282="Onaylandı",'İzin Kayıtları'!$F282&lt;&gt;"",'İzin Kayıtları'!$F282&lt;=Listeler!$F$5,'İzin Kayıtları'!$G282&gt;=Listeler!$F$5,OR(Dashboard!$O$4="Tümü",'İzin Kayıtları'!$D282=Dashboard!$O$4))*1)</f>
        <v>2</v>
      </c>
    </row>
    <row r="279" customFormat="false" ht="15" hidden="false" customHeight="false" outlineLevel="0" collapsed="false">
      <c r="V279" s="0" t="n">
        <f aca="false">V278+(AND('İzin Kayıtları'!$I283="Onaylandı",'İzin Kayıtları'!$F283&lt;&gt;"",'İzin Kayıtları'!$F283&lt;=Listeler!$F$5,'İzin Kayıtları'!$G283&gt;=Listeler!$F$5,OR(Dashboard!$O$4="Tümü",'İzin Kayıtları'!$D283=Dashboard!$O$4))*1)</f>
        <v>2</v>
      </c>
    </row>
    <row r="280" customFormat="false" ht="15" hidden="false" customHeight="false" outlineLevel="0" collapsed="false">
      <c r="V280" s="0" t="n">
        <f aca="false">V279+(AND('İzin Kayıtları'!$I284="Onaylandı",'İzin Kayıtları'!$F284&lt;&gt;"",'İzin Kayıtları'!$F284&lt;=Listeler!$F$5,'İzin Kayıtları'!$G284&gt;=Listeler!$F$5,OR(Dashboard!$O$4="Tümü",'İzin Kayıtları'!$D284=Dashboard!$O$4))*1)</f>
        <v>2</v>
      </c>
    </row>
    <row r="281" customFormat="false" ht="15" hidden="false" customHeight="false" outlineLevel="0" collapsed="false">
      <c r="V281" s="0" t="n">
        <f aca="false">V280+(AND('İzin Kayıtları'!$I285="Onaylandı",'İzin Kayıtları'!$F285&lt;&gt;"",'İzin Kayıtları'!$F285&lt;=Listeler!$F$5,'İzin Kayıtları'!$G285&gt;=Listeler!$F$5,OR(Dashboard!$O$4="Tümü",'İzin Kayıtları'!$D285=Dashboard!$O$4))*1)</f>
        <v>2</v>
      </c>
    </row>
    <row r="282" customFormat="false" ht="15" hidden="false" customHeight="false" outlineLevel="0" collapsed="false">
      <c r="V282" s="0" t="n">
        <f aca="false">V281+(AND('İzin Kayıtları'!$I286="Onaylandı",'İzin Kayıtları'!$F286&lt;&gt;"",'İzin Kayıtları'!$F286&lt;=Listeler!$F$5,'İzin Kayıtları'!$G286&gt;=Listeler!$F$5,OR(Dashboard!$O$4="Tümü",'İzin Kayıtları'!$D286=Dashboard!$O$4))*1)</f>
        <v>2</v>
      </c>
    </row>
    <row r="283" customFormat="false" ht="15" hidden="false" customHeight="false" outlineLevel="0" collapsed="false">
      <c r="V283" s="0" t="n">
        <f aca="false">V282+(AND('İzin Kayıtları'!$I287="Onaylandı",'İzin Kayıtları'!$F287&lt;&gt;"",'İzin Kayıtları'!$F287&lt;=Listeler!$F$5,'İzin Kayıtları'!$G287&gt;=Listeler!$F$5,OR(Dashboard!$O$4="Tümü",'İzin Kayıtları'!$D287=Dashboard!$O$4))*1)</f>
        <v>2</v>
      </c>
    </row>
    <row r="284" customFormat="false" ht="15" hidden="false" customHeight="false" outlineLevel="0" collapsed="false">
      <c r="V284" s="0" t="n">
        <f aca="false">V283+(AND('İzin Kayıtları'!$I288="Onaylandı",'İzin Kayıtları'!$F288&lt;&gt;"",'İzin Kayıtları'!$F288&lt;=Listeler!$F$5,'İzin Kayıtları'!$G288&gt;=Listeler!$F$5,OR(Dashboard!$O$4="Tümü",'İzin Kayıtları'!$D288=Dashboard!$O$4))*1)</f>
        <v>2</v>
      </c>
    </row>
    <row r="285" customFormat="false" ht="15" hidden="false" customHeight="false" outlineLevel="0" collapsed="false">
      <c r="V285" s="0" t="n">
        <f aca="false">V284+(AND('İzin Kayıtları'!$I289="Onaylandı",'İzin Kayıtları'!$F289&lt;&gt;"",'İzin Kayıtları'!$F289&lt;=Listeler!$F$5,'İzin Kayıtları'!$G289&gt;=Listeler!$F$5,OR(Dashboard!$O$4="Tümü",'İzin Kayıtları'!$D289=Dashboard!$O$4))*1)</f>
        <v>2</v>
      </c>
    </row>
    <row r="286" customFormat="false" ht="15" hidden="false" customHeight="false" outlineLevel="0" collapsed="false">
      <c r="V286" s="0" t="n">
        <f aca="false">V285+(AND('İzin Kayıtları'!$I290="Onaylandı",'İzin Kayıtları'!$F290&lt;&gt;"",'İzin Kayıtları'!$F290&lt;=Listeler!$F$5,'İzin Kayıtları'!$G290&gt;=Listeler!$F$5,OR(Dashboard!$O$4="Tümü",'İzin Kayıtları'!$D290=Dashboard!$O$4))*1)</f>
        <v>2</v>
      </c>
    </row>
    <row r="287" customFormat="false" ht="15" hidden="false" customHeight="false" outlineLevel="0" collapsed="false">
      <c r="V287" s="0" t="n">
        <f aca="false">V286+(AND('İzin Kayıtları'!$I291="Onaylandı",'İzin Kayıtları'!$F291&lt;&gt;"",'İzin Kayıtları'!$F291&lt;=Listeler!$F$5,'İzin Kayıtları'!$G291&gt;=Listeler!$F$5,OR(Dashboard!$O$4="Tümü",'İzin Kayıtları'!$D291=Dashboard!$O$4))*1)</f>
        <v>2</v>
      </c>
    </row>
    <row r="288" customFormat="false" ht="15" hidden="false" customHeight="false" outlineLevel="0" collapsed="false">
      <c r="V288" s="0" t="n">
        <f aca="false">V287+(AND('İzin Kayıtları'!$I292="Onaylandı",'İzin Kayıtları'!$F292&lt;&gt;"",'İzin Kayıtları'!$F292&lt;=Listeler!$F$5,'İzin Kayıtları'!$G292&gt;=Listeler!$F$5,OR(Dashboard!$O$4="Tümü",'İzin Kayıtları'!$D292=Dashboard!$O$4))*1)</f>
        <v>2</v>
      </c>
    </row>
    <row r="289" customFormat="false" ht="15" hidden="false" customHeight="false" outlineLevel="0" collapsed="false">
      <c r="V289" s="0" t="n">
        <f aca="false">V288+(AND('İzin Kayıtları'!$I293="Onaylandı",'İzin Kayıtları'!$F293&lt;&gt;"",'İzin Kayıtları'!$F293&lt;=Listeler!$F$5,'İzin Kayıtları'!$G293&gt;=Listeler!$F$5,OR(Dashboard!$O$4="Tümü",'İzin Kayıtları'!$D293=Dashboard!$O$4))*1)</f>
        <v>2</v>
      </c>
    </row>
    <row r="290" customFormat="false" ht="15" hidden="false" customHeight="false" outlineLevel="0" collapsed="false">
      <c r="V290" s="0" t="n">
        <f aca="false">V289+(AND('İzin Kayıtları'!$I294="Onaylandı",'İzin Kayıtları'!$F294&lt;&gt;"",'İzin Kayıtları'!$F294&lt;=Listeler!$F$5,'İzin Kayıtları'!$G294&gt;=Listeler!$F$5,OR(Dashboard!$O$4="Tümü",'İzin Kayıtları'!$D294=Dashboard!$O$4))*1)</f>
        <v>2</v>
      </c>
    </row>
    <row r="291" customFormat="false" ht="15" hidden="false" customHeight="false" outlineLevel="0" collapsed="false">
      <c r="V291" s="0" t="n">
        <f aca="false">V290+(AND('İzin Kayıtları'!$I295="Onaylandı",'İzin Kayıtları'!$F295&lt;&gt;"",'İzin Kayıtları'!$F295&lt;=Listeler!$F$5,'İzin Kayıtları'!$G295&gt;=Listeler!$F$5,OR(Dashboard!$O$4="Tümü",'İzin Kayıtları'!$D295=Dashboard!$O$4))*1)</f>
        <v>2</v>
      </c>
    </row>
    <row r="292" customFormat="false" ht="15" hidden="false" customHeight="false" outlineLevel="0" collapsed="false">
      <c r="V292" s="0" t="n">
        <f aca="false">V291+(AND('İzin Kayıtları'!$I296="Onaylandı",'İzin Kayıtları'!$F296&lt;&gt;"",'İzin Kayıtları'!$F296&lt;=Listeler!$F$5,'İzin Kayıtları'!$G296&gt;=Listeler!$F$5,OR(Dashboard!$O$4="Tümü",'İzin Kayıtları'!$D296=Dashboard!$O$4))*1)</f>
        <v>2</v>
      </c>
    </row>
    <row r="293" customFormat="false" ht="15" hidden="false" customHeight="false" outlineLevel="0" collapsed="false">
      <c r="V293" s="0" t="n">
        <f aca="false">V292+(AND('İzin Kayıtları'!$I297="Onaylandı",'İzin Kayıtları'!$F297&lt;&gt;"",'İzin Kayıtları'!$F297&lt;=Listeler!$F$5,'İzin Kayıtları'!$G297&gt;=Listeler!$F$5,OR(Dashboard!$O$4="Tümü",'İzin Kayıtları'!$D297=Dashboard!$O$4))*1)</f>
        <v>2</v>
      </c>
    </row>
    <row r="294" customFormat="false" ht="15" hidden="false" customHeight="false" outlineLevel="0" collapsed="false">
      <c r="V294" s="0" t="n">
        <f aca="false">V293+(AND('İzin Kayıtları'!$I298="Onaylandı",'İzin Kayıtları'!$F298&lt;&gt;"",'İzin Kayıtları'!$F298&lt;=Listeler!$F$5,'İzin Kayıtları'!$G298&gt;=Listeler!$F$5,OR(Dashboard!$O$4="Tümü",'İzin Kayıtları'!$D298=Dashboard!$O$4))*1)</f>
        <v>2</v>
      </c>
    </row>
    <row r="295" customFormat="false" ht="15" hidden="false" customHeight="false" outlineLevel="0" collapsed="false">
      <c r="V295" s="0" t="n">
        <f aca="false">V294+(AND('İzin Kayıtları'!$I299="Onaylandı",'İzin Kayıtları'!$F299&lt;&gt;"",'İzin Kayıtları'!$F299&lt;=Listeler!$F$5,'İzin Kayıtları'!$G299&gt;=Listeler!$F$5,OR(Dashboard!$O$4="Tümü",'İzin Kayıtları'!$D299=Dashboard!$O$4))*1)</f>
        <v>2</v>
      </c>
    </row>
    <row r="296" customFormat="false" ht="15" hidden="false" customHeight="false" outlineLevel="0" collapsed="false">
      <c r="V296" s="0" t="n">
        <f aca="false">V295+(AND('İzin Kayıtları'!$I300="Onaylandı",'İzin Kayıtları'!$F300&lt;&gt;"",'İzin Kayıtları'!$F300&lt;=Listeler!$F$5,'İzin Kayıtları'!$G300&gt;=Listeler!$F$5,OR(Dashboard!$O$4="Tümü",'İzin Kayıtları'!$D300=Dashboard!$O$4))*1)</f>
        <v>2</v>
      </c>
    </row>
    <row r="297" customFormat="false" ht="15" hidden="false" customHeight="false" outlineLevel="0" collapsed="false">
      <c r="V297" s="0" t="n">
        <f aca="false">V296+(AND('İzin Kayıtları'!$I301="Onaylandı",'İzin Kayıtları'!$F301&lt;&gt;"",'İzin Kayıtları'!$F301&lt;=Listeler!$F$5,'İzin Kayıtları'!$G301&gt;=Listeler!$F$5,OR(Dashboard!$O$4="Tümü",'İzin Kayıtları'!$D301=Dashboard!$O$4))*1)</f>
        <v>2</v>
      </c>
    </row>
    <row r="298" customFormat="false" ht="15" hidden="false" customHeight="false" outlineLevel="0" collapsed="false">
      <c r="V298" s="0" t="n">
        <f aca="false">V297+(AND('İzin Kayıtları'!$I302="Onaylandı",'İzin Kayıtları'!$F302&lt;&gt;"",'İzin Kayıtları'!$F302&lt;=Listeler!$F$5,'İzin Kayıtları'!$G302&gt;=Listeler!$F$5,OR(Dashboard!$O$4="Tümü",'İzin Kayıtları'!$D302=Dashboard!$O$4))*1)</f>
        <v>2</v>
      </c>
    </row>
    <row r="299" customFormat="false" ht="15" hidden="false" customHeight="false" outlineLevel="0" collapsed="false">
      <c r="V299" s="0" t="n">
        <f aca="false">V298+(AND('İzin Kayıtları'!$I303="Onaylandı",'İzin Kayıtları'!$F303&lt;&gt;"",'İzin Kayıtları'!$F303&lt;=Listeler!$F$5,'İzin Kayıtları'!$G303&gt;=Listeler!$F$5,OR(Dashboard!$O$4="Tümü",'İzin Kayıtları'!$D303=Dashboard!$O$4))*1)</f>
        <v>2</v>
      </c>
    </row>
    <row r="300" customFormat="false" ht="15" hidden="false" customHeight="false" outlineLevel="0" collapsed="false">
      <c r="V300" s="0" t="n">
        <f aca="false">V299+(AND('İzin Kayıtları'!$I304="Onaylandı",'İzin Kayıtları'!$F304&lt;&gt;"",'İzin Kayıtları'!$F304&lt;=Listeler!$F$5,'İzin Kayıtları'!$G304&gt;=Listeler!$F$5,OR(Dashboard!$O$4="Tümü",'İzin Kayıtları'!$D304=Dashboard!$O$4))*1)</f>
        <v>2</v>
      </c>
    </row>
    <row r="301" customFormat="false" ht="15" hidden="false" customHeight="false" outlineLevel="0" collapsed="false">
      <c r="V301" s="0" t="n">
        <f aca="false">V300+(AND('İzin Kayıtları'!$I305="Onaylandı",'İzin Kayıtları'!$F305&lt;&gt;"",'İzin Kayıtları'!$F305&lt;=Listeler!$F$5,'İzin Kayıtları'!$G305&gt;=Listeler!$F$5,OR(Dashboard!$O$4="Tümü",'İzin Kayıtları'!$D305=Dashboard!$O$4))*1)</f>
        <v>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2026-10-28T11:40:20Z</dcterms:created>
  <dc:creator>openpyxl</dc:creator>
  <dc:description/>
  <dc:language>en-US</dc:language>
  <cp:lastModifiedBy/>
  <dcterms:modified xsi:type="dcterms:W3CDTF">2026-10-28T14:40:31Z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