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xl/media/image1.png" ContentType="image/png"/>
  <Override PartName="/xl/comments4.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Kapak" sheetId="1" state="visible" r:id="rId3"/>
    <sheet name="Dashboard" sheetId="2" state="visible" r:id="rId4"/>
    <sheet name="Puantaj" sheetId="3" state="visible" r:id="rId5"/>
    <sheet name="Ayarlar" sheetId="4" state="visible" r:id="rId6"/>
    <sheet name="Nasıl kullanılır" sheetId="5" state="visible" r:id="rId7"/>
    <sheet name="Hesap" sheetId="6" state="hidden" r:id="rId8"/>
  </sheets>
  <definedNames>
    <definedName function="false" hidden="false" localSheetId="0" name="_xlnm.Print_Area" vbProcedure="false">Kapak!$A$1:$N$40</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Q11" authorId="0">
      <text>
        <r>
          <rPr>
            <sz val="10"/>
            <rFont val="Arial"/>
            <family val="2"/>
          </rPr>
          <t xml:space="preserve">SGK prim günü: çalışılan + hafta tatili + yıllık izin + resmi tatil + mazeret izni + raporun ilk 2 günü; üst sınır 30. Kendi uygulamanıza göre düzenleyin.</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B5" authorId="0">
      <text>
        <r>
          <rPr>
            <sz val="10"/>
            <rFont val="Arial"/>
            <family val="2"/>
          </rPr>
          <t xml:space="preserve">Ayın 1. gününü girin; Puantaj sayfasındaki gün başlıkları ve hafta sonları otomatik güncellenir.</t>
        </r>
      </text>
    </comment>
    <comment ref="B6" authorId="0">
      <text>
        <r>
          <rPr>
            <sz val="10"/>
            <rFont val="Arial"/>
            <family val="2"/>
          </rPr>
          <t xml:space="preserve">6 gün çalışan iş yerinde 45/6 = 7,5; 5 gün çalışanda 9. Bu saati aşan girişler fazla mesai sayılır.</t>
        </r>
      </text>
    </comment>
  </commentList>
</comments>
</file>

<file path=xl/sharedStrings.xml><?xml version="1.0" encoding="utf-8"?>
<sst xmlns="http://schemas.openxmlformats.org/spreadsheetml/2006/main" count="492" uniqueCount="207">
  <si>
    <t xml:space="preserve">Puantaj Cetveli</t>
  </si>
  <si>
    <t xml:space="preserve">Aylık devam, fazla mesai, izin ve SGK gün hesabı · bordro öncesi kontrol panosu</t>
  </si>
  <si>
    <t xml:space="preserve">TAKMOS ücretsiz şablon · v3 · 2026</t>
  </si>
  <si>
    <t xml:space="preserve">Her kişi için gün gün çalışılan saat ya da izin kodu girilir; çalışılan gün, toplam saat, fazla mesai, izin türleri, SGK prim günü ve uyarılar otomatik hesaplanır. Dashboard günlük devamı, izin dağılımını ve en yüksek fazla mesai yapan 10 kişiyi gösterir. 30 kişilik örnek; satır kopyalayarak büyütülebilir.</t>
  </si>
  <si>
    <t xml:space="preserve">İÇINDEKILER</t>
  </si>
  <si>
    <t xml:space="preserve">NASIL BAŞLANIR</t>
  </si>
  <si>
    <t xml:space="preserve">→  Dashboard</t>
  </si>
  <si>
    <t xml:space="preserve">KPI kutuları, günlük devam, izin dağılımı, fazla mesai ilk 10</t>
  </si>
  <si>
    <t xml:space="preserve">1.  Ayarlar sayfasında ayı, günlük normal saati ve fazla mesai eşiğini girin.</t>
  </si>
  <si>
    <t xml:space="preserve">→  Puantaj</t>
  </si>
  <si>
    <t xml:space="preserve">Kişi × gün giriş tablosu, özet sütunlar, toplam satırı</t>
  </si>
  <si>
    <t xml:space="preserve">2.  Puantaj sayfasında her kişi-gün hücresine saat (7,5 / 9,5) ya da kod (HT, Yİ, R, D…) girin.</t>
  </si>
  <si>
    <t xml:space="preserve">→  Ayarlar</t>
  </si>
  <si>
    <t xml:space="preserve">Ay, normal saat, eşikler, kodlar</t>
  </si>
  <si>
    <t xml:space="preserve">3.  Sağdaki özet sütunları ve Uyarı sütununu bordro öncesi kontrol edin.</t>
  </si>
  <si>
    <t xml:space="preserve">→  Nasıl kullanılır</t>
  </si>
  <si>
    <t xml:space="preserve">Adım adım kullanım ve yasal hatırlatmalar</t>
  </si>
  <si>
    <t xml:space="preserve">4.  Dashboard sayfasını bölüm sorumlusuyla gözden geçirin; yeni ay için dosyayı kopyalayın.</t>
  </si>
  <si>
    <t xml:space="preserve">Sarı hücre: siz girersiniz</t>
  </si>
  <si>
    <t xml:space="preserve">Sayfalar şifresiz korumalıdır: yalnız sarı hücreler düzenlenir, formüller bozulmaz. Korumayı kaldırmak için sayfa sekmesine sağ tıklayın → Sayfa korumasını kaldır.</t>
  </si>
  <si>
    <t xml:space="preserve">Beyaz hücre: formül (kilitli)</t>
  </si>
  <si>
    <t xml:space="preserve">Yeşil: hedef sağlanıyor</t>
  </si>
  <si>
    <t xml:space="preserve">Sarı: dikkat</t>
  </si>
  <si>
    <t xml:space="preserve">Kırmızı: eksik / süresi dolmuş</t>
  </si>
  <si>
    <t xml:space="preserve">Daha fazla şablon, rehber yazıları ve TAKMOS İK Modülü demosu: takmoserp.com/sablonlar</t>
  </si>
  <si>
    <t xml:space="preserve">Puantaj Panosu</t>
  </si>
  <si>
    <t xml:space="preserve">TAKMOS</t>
  </si>
  <si>
    <t xml:space="preserve">Aylık devam, fazla mesai, izin ve devamsızlık özeti · bordro öncesi kontrol</t>
  </si>
  <si>
    <t xml:space="preserve">takmoserp.com · ücretsiz şablon</t>
  </si>
  <si>
    <t xml:space="preserve">Dashboard</t>
  </si>
  <si>
    <t xml:space="preserve">·  Puantaj</t>
  </si>
  <si>
    <t xml:space="preserve">·  Ayarlar</t>
  </si>
  <si>
    <t xml:space="preserve">·  Nasıl kullanılır</t>
  </si>
  <si>
    <t xml:space="preserve">Personel</t>
  </si>
  <si>
    <t xml:space="preserve">Fazla mesai</t>
  </si>
  <si>
    <t xml:space="preserve">Ort. FM / kişi</t>
  </si>
  <si>
    <t xml:space="preserve">Devamsızlık</t>
  </si>
  <si>
    <t xml:space="preserve">Rapor + izin</t>
  </si>
  <si>
    <t xml:space="preserve">Uyarılı personel</t>
  </si>
  <si>
    <t xml:space="preserve">puantaj satırı</t>
  </si>
  <si>
    <t xml:space="preserve">saat · ay toplamı</t>
  </si>
  <si>
    <t xml:space="preserve">gün (mazeretsiz)</t>
  </si>
  <si>
    <t xml:space="preserve">gün (Yİ + R + Üİ)</t>
  </si>
  <si>
    <t xml:space="preserve">FM / devamsız / HT eksik</t>
  </si>
  <si>
    <t xml:space="preserve">AY ÖZETI VE EŞIKLER</t>
  </si>
  <si>
    <t xml:space="preserve">Gösterge</t>
  </si>
  <si>
    <t xml:space="preserve">Değer</t>
  </si>
  <si>
    <t xml:space="preserve">Günlük normal saat</t>
  </si>
  <si>
    <t xml:space="preserve">Fazla mesai uyarı eşiği (saat / ay)</t>
  </si>
  <si>
    <t xml:space="preserve">Yıllık fazla mesai sınırı (saat)</t>
  </si>
  <si>
    <t xml:space="preserve">Aylık toplam çalışma (saat)</t>
  </si>
  <si>
    <t xml:space="preserve">Çalışılan gün (kişi-gün)</t>
  </si>
  <si>
    <t xml:space="preserve">Toplam SGK prim günü</t>
  </si>
  <si>
    <t xml:space="preserve">Hafta tatili (kişi-gün)</t>
  </si>
  <si>
    <t xml:space="preserve">Rapor (gün)</t>
  </si>
  <si>
    <t xml:space="preserve">Yıllık izin (gün)</t>
  </si>
  <si>
    <t xml:space="preserve">Devamsızlık (gün)</t>
  </si>
  <si>
    <t xml:space="preserve">UYARILI PERSONEL (ILK 10)</t>
  </si>
  <si>
    <t xml:space="preserve">Ad Soyad</t>
  </si>
  <si>
    <t xml:space="preserve">FM</t>
  </si>
  <si>
    <t xml:space="preserve">Devamsız</t>
  </si>
  <si>
    <t xml:space="preserve">Uyarı</t>
  </si>
  <si>
    <t xml:space="preserve">Puantaj sayfasındaki Uyarı sütunundan otomatik; eşikleri Ayarlar sayfasından değiştirin.</t>
  </si>
  <si>
    <t xml:space="preserve">TAKMOS ücretsiz şablon · takmoserp.com · Örnek veriler kurgusaldır; kendi verinizle değiştirin.</t>
  </si>
  <si>
    <t xml:space="preserve">Aylık Puantaj Cetveli</t>
  </si>
  <si>
    <t xml:space="preserve">Günlük çalışılan saat (sayı) ya da izin kodu · özet sütunlar ve toplam satırı otomatik</t>
  </si>
  <si>
    <t xml:space="preserve">Ay</t>
  </si>
  <si>
    <t xml:space="preserve">Sarı hücreler girilir · beyaz hücreler formüldür, dokunmayın · satır eklemek için mevcut bir satırı kopyalayın</t>
  </si>
  <si>
    <t xml:space="preserve">Normal saat</t>
  </si>
  <si>
    <t xml:space="preserve">Bölüm</t>
  </si>
  <si>
    <t xml:space="preserve">Sicil</t>
  </si>
  <si>
    <t xml:space="preserve">Görev</t>
  </si>
  <si>
    <t xml:space="preserve">Çalışılan gün</t>
  </si>
  <si>
    <t xml:space="preserve">Toplam saat</t>
  </si>
  <si>
    <t xml:space="preserve">Fazla mesai (saat)</t>
  </si>
  <si>
    <t xml:space="preserve">Hafta tatili</t>
  </si>
  <si>
    <t xml:space="preserve">Yıllık izin</t>
  </si>
  <si>
    <t xml:space="preserve">Rapor</t>
  </si>
  <si>
    <t xml:space="preserve">Ücretsiz izin</t>
  </si>
  <si>
    <t xml:space="preserve">SGK gün</t>
  </si>
  <si>
    <t xml:space="preserve">P-101</t>
  </si>
  <si>
    <t xml:space="preserve">Ayşe Demir</t>
  </si>
  <si>
    <t xml:space="preserve">Operatör</t>
  </si>
  <si>
    <t xml:space="preserve">HT</t>
  </si>
  <si>
    <t xml:space="preserve">Yİ</t>
  </si>
  <si>
    <t xml:space="preserve">D</t>
  </si>
  <si>
    <t xml:space="preserve">RT</t>
  </si>
  <si>
    <t xml:space="preserve">Sayı · çalışılan saat (örn. 7,5)</t>
  </si>
  <si>
    <t xml:space="preserve">P-102</t>
  </si>
  <si>
    <t xml:space="preserve">Mehmet Kaya</t>
  </si>
  <si>
    <t xml:space="preserve">R</t>
  </si>
  <si>
    <t xml:space="preserve">Normal saati aşan gün · fazla mesai</t>
  </si>
  <si>
    <t xml:space="preserve">P-103</t>
  </si>
  <si>
    <t xml:space="preserve">Elif Yıldız</t>
  </si>
  <si>
    <t xml:space="preserve">HT · Hafta tatili</t>
  </si>
  <si>
    <t xml:space="preserve">P-104</t>
  </si>
  <si>
    <t xml:space="preserve">Burak Çelik</t>
  </si>
  <si>
    <t xml:space="preserve">RT · Resmi tatil</t>
  </si>
  <si>
    <t xml:space="preserve">P-105</t>
  </si>
  <si>
    <t xml:space="preserve">Zeynep Arslan</t>
  </si>
  <si>
    <t xml:space="preserve">Yİ · Yıllık izin</t>
  </si>
  <si>
    <t xml:space="preserve">P-106</t>
  </si>
  <si>
    <t xml:space="preserve">Emre Şahin</t>
  </si>
  <si>
    <t xml:space="preserve">R · Rapor</t>
  </si>
  <si>
    <t xml:space="preserve">P-107</t>
  </si>
  <si>
    <t xml:space="preserve">Merve Koç</t>
  </si>
  <si>
    <t xml:space="preserve">Üİ · Ücretsiz izin</t>
  </si>
  <si>
    <t xml:space="preserve">P-108</t>
  </si>
  <si>
    <t xml:space="preserve">Can Aydın</t>
  </si>
  <si>
    <t xml:space="preserve">Mİ · Mazeret izni</t>
  </si>
  <si>
    <t xml:space="preserve">P-109</t>
  </si>
  <si>
    <t xml:space="preserve">Selin Öztürk</t>
  </si>
  <si>
    <t xml:space="preserve">D · Devamsızlık</t>
  </si>
  <si>
    <t xml:space="preserve">P-110</t>
  </si>
  <si>
    <t xml:space="preserve">Murat Doğan</t>
  </si>
  <si>
    <t xml:space="preserve">P-111</t>
  </si>
  <si>
    <t xml:space="preserve">Derya Kurt</t>
  </si>
  <si>
    <t xml:space="preserve">P-112</t>
  </si>
  <si>
    <t xml:space="preserve">Okan Yılmaz</t>
  </si>
  <si>
    <t xml:space="preserve">P-113</t>
  </si>
  <si>
    <t xml:space="preserve">Gamze Polat</t>
  </si>
  <si>
    <t xml:space="preserve">P-114</t>
  </si>
  <si>
    <t xml:space="preserve">Serkan Acar</t>
  </si>
  <si>
    <t xml:space="preserve">P-115</t>
  </si>
  <si>
    <t xml:space="preserve">Büşra Erdem</t>
  </si>
  <si>
    <t xml:space="preserve">P-116</t>
  </si>
  <si>
    <t xml:space="preserve">Tolga Güneş</t>
  </si>
  <si>
    <t xml:space="preserve">P-117</t>
  </si>
  <si>
    <t xml:space="preserve">Nur Aksoy</t>
  </si>
  <si>
    <t xml:space="preserve">P-118</t>
  </si>
  <si>
    <t xml:space="preserve">Kerem Uçar</t>
  </si>
  <si>
    <t xml:space="preserve">P-119</t>
  </si>
  <si>
    <t xml:space="preserve">Pınar Tekin</t>
  </si>
  <si>
    <t xml:space="preserve">P-120</t>
  </si>
  <si>
    <t xml:space="preserve">Barış Kılıç</t>
  </si>
  <si>
    <t xml:space="preserve">P-121</t>
  </si>
  <si>
    <t xml:space="preserve">Ece Karaca</t>
  </si>
  <si>
    <t xml:space="preserve">Takım lideri</t>
  </si>
  <si>
    <t xml:space="preserve">P-122</t>
  </si>
  <si>
    <t xml:space="preserve">Onur Bozkurt</t>
  </si>
  <si>
    <t xml:space="preserve">P-123</t>
  </si>
  <si>
    <t xml:space="preserve">Sibel Taş</t>
  </si>
  <si>
    <t xml:space="preserve">Kalite kontrol</t>
  </si>
  <si>
    <t xml:space="preserve">P-124</t>
  </si>
  <si>
    <t xml:space="preserve">Volkan Ergin</t>
  </si>
  <si>
    <t xml:space="preserve">P-125</t>
  </si>
  <si>
    <t xml:space="preserve">Hande Yavuz</t>
  </si>
  <si>
    <t xml:space="preserve">Bakımcı</t>
  </si>
  <si>
    <t xml:space="preserve">P-126</t>
  </si>
  <si>
    <t xml:space="preserve">Ali Vural</t>
  </si>
  <si>
    <t xml:space="preserve">Mİ</t>
  </si>
  <si>
    <t xml:space="preserve">P-127</t>
  </si>
  <si>
    <t xml:space="preserve">Ceren Sarı</t>
  </si>
  <si>
    <t xml:space="preserve">P-128</t>
  </si>
  <si>
    <t xml:space="preserve">Deniz Koru</t>
  </si>
  <si>
    <t xml:space="preserve">Forklift op.</t>
  </si>
  <si>
    <t xml:space="preserve">P-129</t>
  </si>
  <si>
    <t xml:space="preserve">Fatma Ak</t>
  </si>
  <si>
    <t xml:space="preserve">P-130</t>
  </si>
  <si>
    <t xml:space="preserve">Halil Öz</t>
  </si>
  <si>
    <t xml:space="preserve">TOPLAM / GÜNLÜK DEVAM</t>
  </si>
  <si>
    <t xml:space="preserve">Ayarlar</t>
  </si>
  <si>
    <t xml:space="preserve">Ay, normal çalışma saati, kodlar ve bölümler</t>
  </si>
  <si>
    <t xml:space="preserve">Parametre</t>
  </si>
  <si>
    <t xml:space="preserve">Kod</t>
  </si>
  <si>
    <t xml:space="preserve">Anlamı</t>
  </si>
  <si>
    <t xml:space="preserve">SGK günü sayılır mı?</t>
  </si>
  <si>
    <t xml:space="preserve">Ay başlangıcı</t>
  </si>
  <si>
    <t xml:space="preserve">Evet</t>
  </si>
  <si>
    <t xml:space="preserve">Günlük normal çalışma saati</t>
  </si>
  <si>
    <t xml:space="preserve">Resmi tatil</t>
  </si>
  <si>
    <t xml:space="preserve">Haftalık normal saat</t>
  </si>
  <si>
    <t xml:space="preserve">Fazla mesai uyarı eşiği (saat/ay)</t>
  </si>
  <si>
    <t xml:space="preserve">İlk 2 gün</t>
  </si>
  <si>
    <t xml:space="preserve">Üİ</t>
  </si>
  <si>
    <t xml:space="preserve">Hayır</t>
  </si>
  <si>
    <t xml:space="preserve">Montaj</t>
  </si>
  <si>
    <t xml:space="preserve">Mazeret izni</t>
  </si>
  <si>
    <t xml:space="preserve">Nasıl kullanılır</t>
  </si>
  <si>
    <t xml:space="preserve">TAKMOS · takmoserp.com</t>
  </si>
  <si>
    <t xml:space="preserve">Aylık puantaj şablonu</t>
  </si>
  <si>
    <t xml:space="preserve">Puantaj sayfasına her kişi için gün gün çalışılan saat ya da izin kodu girilir; çalışılan gün, toplam saat, fazla mesai, izinler, SGK prim günü ve uyarılar otomatik hesaplanır. Dashboard sayfası ayın özetini grafiklerle gösterir.</t>
  </si>
  <si>
    <t xml:space="preserve">Adımlar</t>
  </si>
  <si>
    <t xml:space="preserve">1. Ayarlar sayfasında ay başlangıcını (ayın 1'i), günlük normal çalışma saatini (6 gün için 7,5; 5 gün için 9), fazla mesai uyarı eşiğini ve bölüm adını girin.</t>
  </si>
  <si>
    <t xml:space="preserve">2. Puantaj sayfasında her kişi-gün hücresine ya çalışılan saati sayı olarak (7,5 / 9,5 / 10,5) ya da bir kod girin: HT hafta tatili, RT resmi tatil, Yİ yıllık izin, R rapor, Üİ ücretsiz izin, Mİ mazeret izni, D devamsızlık. Normal saati aşan günler turuncu görünür.</t>
  </si>
  <si>
    <t xml:space="preserve">3. Sağdaki özet sütunlar kişi başına, alttaki TOPLAM satırı bölüm bazında hesaplanır. "Uyarı" sütunu fazla mesai eşiğini aşan, devamsızlığı olan ya da hafta tatili eksik kişileri gösterir.</t>
  </si>
  <si>
    <t xml:space="preserve">4. Dashboard: günlük devam grafiği, izin/devamsızlık dağılımı, en yüksek fazla mesai yapan 10 kişi ve eşikler. Bordroya göndermeden önce bu sayfayı bölüm sorumlusuyla gözden geçirin.</t>
  </si>
  <si>
    <t xml:space="preserve">5. Yeni ay için dosyayı kopyalayın, Ayarlar'da tarihi değiştirin ve hücreleri temizleyin; formüller ve renk kuralları korunur.</t>
  </si>
  <si>
    <t xml:space="preserve">Hatırlatma</t>
  </si>
  <si>
    <t xml:space="preserve">Fazla çalışma haftalık 45 saati aşan çalışmadır (%50 zamlı); yıllık üst sınır 270 saattir ve işçinin yazılı onayı gerekir. Şablon günlük aşımı toplar; denkleştirme uyguluyorsanız dönem sonunda değerlendirin.</t>
  </si>
  <si>
    <t xml:space="preserve">Renk anahtarı</t>
  </si>
  <si>
    <t xml:space="preserve">Açık sarı hücreler: siz doldurursunuz</t>
  </si>
  <si>
    <t xml:space="preserve">Beyaz hücreler: formül — dokunmayın</t>
  </si>
  <si>
    <t xml:space="preserve">Yeşil: hedef sağlanıyor / geçerli</t>
  </si>
  <si>
    <t xml:space="preserve">Sarı: dikkat / yaklaşıyor</t>
  </si>
  <si>
    <t xml:space="preserve">Dashboard sayfasındaki sayılar ve grafikler veri girişi sayfalarından otomatik beslenir; dosyayı açınca F9 ile yeniden hesaplatabilirsiniz. Daha fazla şablon ve rehber: takmoserp.com/sablonlar</t>
  </si>
  <si>
    <t xml:space="preserve">Gün</t>
  </si>
  <si>
    <t xml:space="preserve">Çalışan</t>
  </si>
  <si>
    <t xml:space="preserve">Toplam personel</t>
  </si>
  <si>
    <t xml:space="preserve">Sıra</t>
  </si>
  <si>
    <t xml:space="preserve">Hafta</t>
  </si>
  <si>
    <t xml:space="preserve">Normal (45 × kişi)</t>
  </si>
  <si>
    <t xml:space="preserve">1. hafta</t>
  </si>
  <si>
    <t xml:space="preserve">2. hafta</t>
  </si>
  <si>
    <t xml:space="preserve">3. hafta</t>
  </si>
  <si>
    <t xml:space="preserve">4. hafta</t>
  </si>
  <si>
    <t xml:space="preserve">5. hafta</t>
  </si>
</sst>
</file>

<file path=xl/styles.xml><?xml version="1.0" encoding="utf-8"?>
<styleSheet xmlns="http://schemas.openxmlformats.org/spreadsheetml/2006/main">
  <numFmts count="8">
    <numFmt numFmtId="164" formatCode="General"/>
    <numFmt numFmtId="165" formatCode="0"/>
    <numFmt numFmtId="166" formatCode="#,##0"/>
    <numFmt numFmtId="167" formatCode="0.0"/>
    <numFmt numFmtId="168" formatCode="d"/>
    <numFmt numFmtId="169" formatCode="0.#"/>
    <numFmt numFmtId="170" formatCode="General"/>
    <numFmt numFmtId="171" formatCode="dd\.mm\.yyyy"/>
  </numFmts>
  <fonts count="41">
    <font>
      <sz val="11"/>
      <color theme="1"/>
      <name val="Calibri"/>
      <family val="2"/>
      <charset val="1"/>
    </font>
    <font>
      <sz val="10"/>
      <name val="Arial"/>
      <family val="0"/>
    </font>
    <font>
      <sz val="10"/>
      <name val="Arial"/>
      <family val="0"/>
    </font>
    <font>
      <sz val="10"/>
      <name val="Arial"/>
      <family val="0"/>
    </font>
    <font>
      <b val="true"/>
      <sz val="26"/>
      <color rgb="FFFFFFFF"/>
      <name val="Arial"/>
      <family val="0"/>
      <charset val="1"/>
    </font>
    <font>
      <sz val="11"/>
      <color rgb="FFFDBA74"/>
      <name val="Arial"/>
      <family val="0"/>
      <charset val="1"/>
    </font>
    <font>
      <sz val="9"/>
      <color rgb="FF94A3B8"/>
      <name val="Arial"/>
      <family val="0"/>
      <charset val="1"/>
    </font>
    <font>
      <sz val="11"/>
      <color rgb="FFE2E8F0"/>
      <name val="Arial"/>
      <family val="0"/>
      <charset val="1"/>
    </font>
    <font>
      <b val="true"/>
      <sz val="9"/>
      <color rgb="FFC2410C"/>
      <name val="Arial"/>
      <family val="0"/>
      <charset val="1"/>
    </font>
    <font>
      <b val="true"/>
      <sz val="11"/>
      <color rgb="FF1B2836"/>
      <name val="Arial"/>
      <family val="0"/>
      <charset val="1"/>
    </font>
    <font>
      <sz val="9"/>
      <color rgb="FF475569"/>
      <name val="Arial"/>
      <family val="0"/>
      <charset val="1"/>
    </font>
    <font>
      <sz val="10"/>
      <color rgb="FF1B2836"/>
      <name val="Arial"/>
      <family val="0"/>
      <charset val="1"/>
    </font>
    <font>
      <i val="true"/>
      <sz val="9"/>
      <color rgb="FF475569"/>
      <name val="Arial"/>
      <family val="0"/>
      <charset val="1"/>
    </font>
    <font>
      <u val="single"/>
      <sz val="10"/>
      <color rgb="FFC2410C"/>
      <name val="Arial"/>
      <family val="0"/>
      <charset val="1"/>
    </font>
    <font>
      <b val="true"/>
      <sz val="18"/>
      <color rgb="FFFFFFFF"/>
      <name val="Arial"/>
      <family val="0"/>
      <charset val="1"/>
    </font>
    <font>
      <b val="true"/>
      <sz val="12"/>
      <color rgb="FFFFFFFF"/>
      <name val="Arial"/>
      <family val="0"/>
      <charset val="1"/>
    </font>
    <font>
      <sz val="10"/>
      <color rgb="FFFDBA74"/>
      <name val="Arial"/>
      <family val="0"/>
      <charset val="1"/>
    </font>
    <font>
      <sz val="8"/>
      <color rgb="FF94A3B8"/>
      <name val="Arial"/>
      <family val="0"/>
      <charset val="1"/>
    </font>
    <font>
      <b val="true"/>
      <sz val="9"/>
      <color rgb="FF64748B"/>
      <name val="Arial"/>
      <family val="0"/>
      <charset val="1"/>
    </font>
    <font>
      <sz val="9"/>
      <color rgb="FFC2410C"/>
      <name val="Arial"/>
      <family val="0"/>
      <charset val="1"/>
    </font>
    <font>
      <b val="true"/>
      <sz val="9"/>
      <color rgb="FF1B2836"/>
      <name val="Arial"/>
      <family val="0"/>
      <charset val="1"/>
    </font>
    <font>
      <b val="true"/>
      <sz val="26"/>
      <color rgb="FF1B2836"/>
      <name val="Arial"/>
      <family val="0"/>
      <charset val="1"/>
    </font>
    <font>
      <b val="true"/>
      <sz val="26"/>
      <color rgb="FFC2410C"/>
      <name val="Arial"/>
      <family val="0"/>
      <charset val="1"/>
    </font>
    <font>
      <sz val="8"/>
      <color rgb="FF64748B"/>
      <name val="Arial"/>
      <family val="0"/>
      <charset val="1"/>
    </font>
    <font>
      <b val="true"/>
      <sz val="10"/>
      <color rgb="FFFFFFFF"/>
      <name val="Arial"/>
      <family val="0"/>
      <charset val="1"/>
    </font>
    <font>
      <sz val="9"/>
      <color rgb="FF1B2836"/>
      <name val="Arial"/>
      <family val="0"/>
      <charset val="1"/>
    </font>
    <font>
      <i val="true"/>
      <sz val="8"/>
      <color rgb="FF64748B"/>
      <name val="Arial"/>
      <family val="0"/>
      <charset val="1"/>
    </font>
    <font>
      <i val="true"/>
      <sz val="9"/>
      <color rgb="FF64748B"/>
      <name val="Arial"/>
      <family val="0"/>
      <charset val="1"/>
    </font>
    <font>
      <b val="true"/>
      <sz val="11.5"/>
      <color rgb="FF1B2836"/>
      <name val="Arial"/>
      <family val="2"/>
    </font>
    <font>
      <sz val="8"/>
      <color rgb="FF475569"/>
      <name val="Arial"/>
      <family val="2"/>
    </font>
    <font>
      <b val="true"/>
      <sz val="8"/>
      <color rgb="FFFFFFFF"/>
      <name val="Arial"/>
      <family val="2"/>
    </font>
    <font>
      <sz val="8"/>
      <color rgb="FF1B2836"/>
      <name val="Arial"/>
      <family val="2"/>
    </font>
    <font>
      <b val="true"/>
      <sz val="10"/>
      <color rgb="FF1B2836"/>
      <name val="Arial"/>
      <family val="0"/>
      <charset val="1"/>
    </font>
    <font>
      <sz val="8"/>
      <color rgb="FFCBD5E1"/>
      <name val="Arial"/>
      <family val="0"/>
      <charset val="1"/>
    </font>
    <font>
      <sz val="10"/>
      <name val="Arial"/>
      <family val="2"/>
    </font>
    <font>
      <b val="true"/>
      <sz val="10"/>
      <color rgb="FF475569"/>
      <name val="Arial"/>
      <family val="0"/>
      <charset val="1"/>
    </font>
    <font>
      <b val="true"/>
      <sz val="10"/>
      <color rgb="FF15803D"/>
      <name val="Arial"/>
      <family val="0"/>
      <charset val="1"/>
    </font>
    <font>
      <b val="true"/>
      <sz val="10"/>
      <color rgb="FFB91C1C"/>
      <name val="Arial"/>
      <family val="0"/>
      <charset val="1"/>
    </font>
    <font>
      <b val="true"/>
      <sz val="10"/>
      <color rgb="FF9D174D"/>
      <name val="Arial"/>
      <family val="0"/>
      <charset val="1"/>
    </font>
    <font>
      <b val="true"/>
      <sz val="10"/>
      <color rgb="FF7F1D1D"/>
      <name val="Arial"/>
      <family val="0"/>
      <charset val="1"/>
    </font>
    <font>
      <b val="true"/>
      <sz val="11"/>
      <color rgb="FFC2410C"/>
      <name val="Arial"/>
      <family val="0"/>
      <charset val="1"/>
    </font>
  </fonts>
  <fills count="15">
    <fill>
      <patternFill patternType="none"/>
    </fill>
    <fill>
      <patternFill patternType="gray125"/>
    </fill>
    <fill>
      <patternFill patternType="solid">
        <fgColor rgb="FF1B2836"/>
        <bgColor rgb="FF243447"/>
      </patternFill>
    </fill>
    <fill>
      <patternFill patternType="solid">
        <fgColor rgb="FFFFFFFF"/>
        <bgColor rgb="FFFFFBEA"/>
      </patternFill>
    </fill>
    <fill>
      <patternFill patternType="solid">
        <fgColor rgb="FFFFFBEA"/>
        <bgColor rgb="FFFFFFFF"/>
      </patternFill>
    </fill>
    <fill>
      <patternFill patternType="solid">
        <fgColor rgb="FFDCFCE7"/>
        <bgColor rgb="FFF1F5F9"/>
      </patternFill>
    </fill>
    <fill>
      <patternFill patternType="solid">
        <fgColor rgb="FFFEF3C7"/>
        <bgColor rgb="FFFFEDD5"/>
      </patternFill>
    </fill>
    <fill>
      <patternFill patternType="solid">
        <fgColor rgb="FFFEE2E2"/>
        <bgColor rgb="FFFCE7F3"/>
      </patternFill>
    </fill>
    <fill>
      <patternFill patternType="solid">
        <fgColor rgb="FFC2410C"/>
        <bgColor rgb="FF92400E"/>
      </patternFill>
    </fill>
    <fill>
      <patternFill patternType="solid">
        <fgColor rgb="FFF4F6F8"/>
        <bgColor rgb="FFF1F5F9"/>
      </patternFill>
    </fill>
    <fill>
      <patternFill patternType="solid">
        <fgColor rgb="FF243447"/>
        <bgColor rgb="FF1B2836"/>
      </patternFill>
    </fill>
    <fill>
      <patternFill patternType="solid">
        <fgColor rgb="FFFFEDD5"/>
        <bgColor rgb="FFFEF3C7"/>
      </patternFill>
    </fill>
    <fill>
      <patternFill patternType="solid">
        <fgColor rgb="FFF1F5F9"/>
        <bgColor rgb="FFF4F6F8"/>
      </patternFill>
    </fill>
    <fill>
      <patternFill patternType="solid">
        <fgColor rgb="FFFCE7F3"/>
        <bgColor rgb="FFFEE2E2"/>
      </patternFill>
    </fill>
    <fill>
      <patternFill patternType="solid">
        <fgColor rgb="FFFCA5A5"/>
        <bgColor rgb="FFFDBA74"/>
      </patternFill>
    </fill>
  </fills>
  <borders count="10">
    <border diagonalUp="false" diagonalDown="false">
      <left/>
      <right/>
      <top/>
      <bottom/>
      <diagonal/>
    </border>
    <border diagonalUp="false" diagonalDown="false">
      <left/>
      <right/>
      <top/>
      <bottom style="thin">
        <color rgb="FFCBD5E1"/>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style="thick">
        <color rgb="FF243447"/>
      </left>
      <right style="thin">
        <color rgb="FFE2E8F0"/>
      </right>
      <top style="thin">
        <color rgb="FFE2E8F0"/>
      </top>
      <bottom/>
      <diagonal/>
    </border>
    <border diagonalUp="false" diagonalDown="false">
      <left style="thick">
        <color rgb="FFC2410C"/>
      </left>
      <right style="thin">
        <color rgb="FFE2E8F0"/>
      </right>
      <top style="thin">
        <color rgb="FFE2E8F0"/>
      </top>
      <bottom/>
      <diagonal/>
    </border>
    <border diagonalUp="false" diagonalDown="false">
      <left style="thick">
        <color rgb="FF243447"/>
      </left>
      <right style="thin">
        <color rgb="FFE2E8F0"/>
      </right>
      <top/>
      <bottom/>
      <diagonal/>
    </border>
    <border diagonalUp="false" diagonalDown="false">
      <left style="thick">
        <color rgb="FFC2410C"/>
      </left>
      <right style="thin">
        <color rgb="FFE2E8F0"/>
      </right>
      <top/>
      <bottom/>
      <diagonal/>
    </border>
    <border diagonalUp="false" diagonalDown="false">
      <left style="thick">
        <color rgb="FF243447"/>
      </left>
      <right style="thin">
        <color rgb="FFE2E8F0"/>
      </right>
      <top/>
      <bottom style="thin">
        <color rgb="FFE2E8F0"/>
      </bottom>
      <diagonal/>
    </border>
    <border diagonalUp="false" diagonalDown="false">
      <left style="thick">
        <color rgb="FFC2410C"/>
      </left>
      <right style="thin">
        <color rgb="FFE2E8F0"/>
      </right>
      <top/>
      <bottom style="thin">
        <color rgb="FFE2E8F0"/>
      </bottom>
      <diagonal/>
    </border>
    <border diagonalUp="false" diagonalDown="false">
      <left style="thin">
        <color rgb="FFE2E8F0"/>
      </left>
      <right/>
      <top style="thin">
        <color rgb="FFE2E8F0"/>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2" borderId="0" xfId="0" applyFont="true" applyBorder="true" applyAlignment="true" applyProtection="false">
      <alignment horizontal="general" vertical="center" textRotation="0" wrapText="false" indent="0" shrinkToFit="false"/>
      <protection locked="true" hidden="false"/>
    </xf>
    <xf numFmtId="164" fontId="6" fillId="2" borderId="0" xfId="0" applyFont="true" applyBorder="true" applyAlignment="true" applyProtection="false">
      <alignment horizontal="general" vertical="center" textRotation="0" wrapText="false" indent="0" shrinkToFit="false"/>
      <protection locked="true" hidden="false"/>
    </xf>
    <xf numFmtId="164" fontId="7" fillId="2" borderId="0" xfId="0" applyFont="true" applyBorder="true" applyAlignment="true" applyProtection="false">
      <alignment horizontal="general" vertical="top"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center" textRotation="0" wrapText="false" indent="0" shrinkToFit="false"/>
      <protection locked="true" hidden="false"/>
    </xf>
    <xf numFmtId="164" fontId="9" fillId="3" borderId="0" xfId="0" applyFont="true" applyBorder="true" applyAlignment="true" applyProtection="false">
      <alignment horizontal="left" vertical="center" textRotation="0" wrapText="true" indent="0" shrinkToFit="false"/>
      <protection locked="true" hidden="false"/>
    </xf>
    <xf numFmtId="164" fontId="10" fillId="3" borderId="0" xfId="0" applyFont="true" applyBorder="true" applyAlignment="true" applyProtection="false">
      <alignment horizontal="general" vertical="center" textRotation="0" wrapText="true" indent="0" shrinkToFit="false"/>
      <protection locked="true" hidden="false"/>
    </xf>
    <xf numFmtId="164" fontId="11" fillId="3" borderId="0" xfId="0" applyFont="true" applyBorder="true" applyAlignment="true" applyProtection="false">
      <alignment horizontal="general" vertical="center" textRotation="0" wrapText="tru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64" fontId="10" fillId="3" borderId="0" xfId="0" applyFont="true" applyBorder="true" applyAlignment="true" applyProtection="false">
      <alignment horizontal="general" vertical="center" textRotation="0" wrapText="false" indent="1" shrinkToFit="false"/>
      <protection locked="true" hidden="false"/>
    </xf>
    <xf numFmtId="164" fontId="12" fillId="3" borderId="0" xfId="0" applyFont="true" applyBorder="true" applyAlignment="true" applyProtection="false">
      <alignment horizontal="general" vertical="top" textRotation="0" wrapText="true" indent="0" shrinkToFit="false"/>
      <protection locked="true" hidden="false"/>
    </xf>
    <xf numFmtId="164" fontId="0" fillId="3" borderId="2" xfId="0" applyFont="false" applyBorder="true" applyAlignment="false" applyProtection="false">
      <alignment horizontal="general" vertical="bottom" textRotation="0" wrapText="false" indent="0" shrinkToFit="false"/>
      <protection locked="true" hidden="false"/>
    </xf>
    <xf numFmtId="164" fontId="0" fillId="5" borderId="2" xfId="0" applyFont="false" applyBorder="true" applyAlignment="false" applyProtection="false">
      <alignment horizontal="general" vertical="bottom" textRotation="0" wrapText="false" indent="0" shrinkToFit="false"/>
      <protection locked="true" hidden="false"/>
    </xf>
    <xf numFmtId="164" fontId="0" fillId="6" borderId="2" xfId="0" applyFont="false" applyBorder="true" applyAlignment="false" applyProtection="false">
      <alignment horizontal="general" vertical="bottom" textRotation="0" wrapText="false" indent="0" shrinkToFit="false"/>
      <protection locked="true" hidden="false"/>
    </xf>
    <xf numFmtId="164" fontId="0" fillId="7" borderId="2" xfId="0" applyFont="false" applyBorder="true" applyAlignment="false" applyProtection="false">
      <alignment horizontal="general" vertical="bottom" textRotation="0" wrapText="false" indent="0" shrinkToFit="false"/>
      <protection locked="true" hidden="false"/>
    </xf>
    <xf numFmtId="164" fontId="13" fillId="3" borderId="0" xfId="0" applyFont="true" applyBorder="true" applyAlignment="true" applyProtection="false">
      <alignment horizontal="left" vertical="center" textRotation="0" wrapText="tru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14" fillId="2" borderId="0" xfId="0" applyFont="true" applyBorder="true" applyAlignment="true" applyProtection="false">
      <alignment horizontal="general" vertical="center" textRotation="0" wrapText="false" indent="1" shrinkToFit="false"/>
      <protection locked="true" hidden="false"/>
    </xf>
    <xf numFmtId="164" fontId="15" fillId="2" borderId="0" xfId="0" applyFont="true" applyBorder="true" applyAlignment="true" applyProtection="false">
      <alignment horizontal="right" vertical="center" textRotation="0" wrapText="false" indent="1"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7" fillId="2" borderId="0" xfId="0" applyFont="true" applyBorder="true" applyAlignment="true" applyProtection="false">
      <alignment horizontal="right" vertical="center" textRotation="0" wrapText="false" indent="1"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18" fillId="9" borderId="0" xfId="0" applyFont="true" applyBorder="true" applyAlignment="true" applyProtection="false">
      <alignment horizontal="general" vertical="center" textRotation="0" wrapText="false" indent="0" shrinkToFit="false"/>
      <protection locked="true" hidden="false"/>
    </xf>
    <xf numFmtId="164" fontId="19" fillId="9" borderId="0" xfId="0" applyFont="true" applyBorder="true" applyAlignment="true" applyProtection="false">
      <alignment horizontal="general" vertical="center" textRotation="0" wrapText="false" indent="0" shrinkToFit="false"/>
      <protection locked="true" hidden="false"/>
    </xf>
    <xf numFmtId="164" fontId="20" fillId="9" borderId="0" xfId="0" applyFont="true" applyBorder="true" applyAlignment="true" applyProtection="false">
      <alignment horizontal="right" vertical="center" textRotation="0" wrapText="false" indent="0" shrinkToFit="false"/>
      <protection locked="true" hidden="false"/>
    </xf>
    <xf numFmtId="164" fontId="18" fillId="3" borderId="3" xfId="0" applyFont="true" applyBorder="true" applyAlignment="true" applyProtection="false">
      <alignment horizontal="left" vertical="bottom" textRotation="0" wrapText="false" indent="1" shrinkToFit="false"/>
      <protection locked="true" hidden="false"/>
    </xf>
    <xf numFmtId="164" fontId="18" fillId="3" borderId="4" xfId="0" applyFont="true" applyBorder="true" applyAlignment="true" applyProtection="false">
      <alignment horizontal="left" vertical="bottom" textRotation="0" wrapText="false" indent="1" shrinkToFit="false"/>
      <protection locked="true" hidden="false"/>
    </xf>
    <xf numFmtId="165" fontId="21" fillId="3" borderId="5" xfId="0" applyFont="true" applyBorder="true" applyAlignment="true" applyProtection="false">
      <alignment horizontal="left" vertical="center" textRotation="0" wrapText="false" indent="1" shrinkToFit="false"/>
      <protection locked="true" hidden="false"/>
    </xf>
    <xf numFmtId="166" fontId="22" fillId="3" borderId="6" xfId="0" applyFont="true" applyBorder="true" applyAlignment="true" applyProtection="false">
      <alignment horizontal="left" vertical="center" textRotation="0" wrapText="false" indent="1" shrinkToFit="false"/>
      <protection locked="true" hidden="false"/>
    </xf>
    <xf numFmtId="167" fontId="21" fillId="3" borderId="5" xfId="0" applyFont="true" applyBorder="true" applyAlignment="true" applyProtection="false">
      <alignment horizontal="left" vertical="center" textRotation="0" wrapText="false" indent="1" shrinkToFit="false"/>
      <protection locked="true" hidden="false"/>
    </xf>
    <xf numFmtId="165" fontId="22" fillId="3" borderId="6" xfId="0" applyFont="true" applyBorder="true" applyAlignment="true" applyProtection="false">
      <alignment horizontal="left" vertical="center" textRotation="0" wrapText="false" indent="1" shrinkToFit="false"/>
      <protection locked="true" hidden="false"/>
    </xf>
    <xf numFmtId="164" fontId="23" fillId="3" borderId="7" xfId="0" applyFont="true" applyBorder="true" applyAlignment="true" applyProtection="false">
      <alignment horizontal="left" vertical="top" textRotation="0" wrapText="false" indent="1" shrinkToFit="false"/>
      <protection locked="true" hidden="false"/>
    </xf>
    <xf numFmtId="164" fontId="23" fillId="3" borderId="8" xfId="0" applyFont="true" applyBorder="true" applyAlignment="true" applyProtection="false">
      <alignment horizontal="left" vertical="top" textRotation="0" wrapText="false" indent="1" shrinkToFit="false"/>
      <protection locked="true" hidden="false"/>
    </xf>
    <xf numFmtId="164" fontId="8" fillId="9" borderId="1" xfId="0" applyFont="true" applyBorder="true" applyAlignment="true" applyProtection="false">
      <alignment horizontal="general" vertical="center" textRotation="0" wrapText="false" indent="0" shrinkToFit="false"/>
      <protection locked="true" hidden="false"/>
    </xf>
    <xf numFmtId="164" fontId="24" fillId="10" borderId="2" xfId="0" applyFont="true" applyBorder="true" applyAlignment="true" applyProtection="false">
      <alignment horizontal="center" vertical="center" textRotation="0" wrapText="true" indent="0" shrinkToFit="false"/>
      <protection locked="true" hidden="false"/>
    </xf>
    <xf numFmtId="164" fontId="25" fillId="3" borderId="2" xfId="0" applyFont="true" applyBorder="true" applyAlignment="true" applyProtection="false">
      <alignment horizontal="left" vertical="center" textRotation="0" wrapText="true" indent="0" shrinkToFit="false"/>
      <protection locked="true" hidden="false"/>
    </xf>
    <xf numFmtId="167" fontId="20" fillId="3" borderId="2" xfId="0" applyFont="true" applyBorder="true" applyAlignment="false" applyProtection="false">
      <alignment horizontal="general" vertical="bottom" textRotation="0" wrapText="false" indent="0" shrinkToFit="false"/>
      <protection locked="true" hidden="false"/>
    </xf>
    <xf numFmtId="165" fontId="20" fillId="3" borderId="2" xfId="0" applyFont="true" applyBorder="true" applyAlignment="false" applyProtection="false">
      <alignment horizontal="general" vertical="bottom" textRotation="0" wrapText="false" indent="0" shrinkToFit="false"/>
      <protection locked="true" hidden="false"/>
    </xf>
    <xf numFmtId="166" fontId="20" fillId="3" borderId="2" xfId="0" applyFont="true" applyBorder="true" applyAlignment="false" applyProtection="false">
      <alignment horizontal="general" vertical="bottom" textRotation="0" wrapText="false" indent="0" shrinkToFit="false"/>
      <protection locked="true" hidden="false"/>
    </xf>
    <xf numFmtId="167" fontId="25" fillId="3" borderId="2" xfId="0" applyFont="true" applyBorder="true" applyAlignment="false" applyProtection="false">
      <alignment horizontal="general" vertical="bottom" textRotation="0" wrapText="false" indent="0" shrinkToFit="false"/>
      <protection locked="true" hidden="false"/>
    </xf>
    <xf numFmtId="165" fontId="25" fillId="3" borderId="2" xfId="0" applyFont="true" applyBorder="true" applyAlignment="false" applyProtection="false">
      <alignment horizontal="general" vertical="bottom" textRotation="0" wrapText="false" indent="0" shrinkToFit="false"/>
      <protection locked="true" hidden="false"/>
    </xf>
    <xf numFmtId="164" fontId="20" fillId="3" borderId="2" xfId="0" applyFont="true" applyBorder="true" applyAlignment="true" applyProtection="false">
      <alignment horizontal="left" vertical="center" textRotation="0" wrapText="true" indent="0" shrinkToFit="false"/>
      <protection locked="true" hidden="false"/>
    </xf>
    <xf numFmtId="164" fontId="26" fillId="9" borderId="0" xfId="0" applyFont="true" applyBorder="true" applyAlignment="true" applyProtection="false">
      <alignment horizontal="general" vertical="top" textRotation="0" wrapText="true" indent="0" shrinkToFit="false"/>
      <protection locked="true" hidden="false"/>
    </xf>
    <xf numFmtId="164" fontId="27" fillId="9" borderId="0" xfId="0" applyFont="true" applyBorder="true" applyAlignment="true" applyProtection="false">
      <alignment horizontal="general" vertical="center" textRotation="0" wrapText="false" indent="1" shrinkToFit="false"/>
      <protection locked="true" hidden="false"/>
    </xf>
    <xf numFmtId="164" fontId="32" fillId="0" borderId="2" xfId="0" applyFont="true" applyBorder="true" applyAlignment="true" applyProtection="false">
      <alignment horizontal="left" vertical="center" textRotation="0" wrapText="true" indent="0" shrinkToFit="false"/>
      <protection locked="true" hidden="false"/>
    </xf>
    <xf numFmtId="164" fontId="32" fillId="0" borderId="9" xfId="0" applyFont="true" applyBorder="true" applyAlignment="true" applyProtection="false">
      <alignment horizontal="left" vertical="center" textRotation="0" wrapText="true" indent="0" shrinkToFit="false"/>
      <protection locked="true" hidden="false"/>
    </xf>
    <xf numFmtId="164" fontId="27" fillId="0" borderId="0" xfId="0" applyFont="true" applyBorder="false" applyAlignment="true" applyProtection="false">
      <alignment horizontal="general" vertical="center" textRotation="0" wrapText="false" indent="0" shrinkToFit="false"/>
      <protection locked="true" hidden="false"/>
    </xf>
    <xf numFmtId="167" fontId="11" fillId="0" borderId="9" xfId="0" applyFont="true" applyBorder="true" applyAlignment="true" applyProtection="false">
      <alignment horizontal="left" vertical="center" textRotation="0" wrapText="true" indent="0" shrinkToFit="false"/>
      <protection locked="true" hidden="false"/>
    </xf>
    <xf numFmtId="164" fontId="11" fillId="0" borderId="9" xfId="0" applyFont="true" applyBorder="true" applyAlignment="true" applyProtection="false">
      <alignment horizontal="left" vertical="center" textRotation="0" wrapText="tru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18" fillId="0" borderId="0" xfId="0" applyFont="true" applyBorder="false" applyAlignment="true" applyProtection="false">
      <alignment horizontal="general" vertical="center" textRotation="0" wrapText="false" indent="0" shrinkToFit="false"/>
      <protection locked="true" hidden="false"/>
    </xf>
    <xf numFmtId="164" fontId="0" fillId="10" borderId="2" xfId="0" applyFont="false" applyBorder="true" applyAlignment="false" applyProtection="false">
      <alignment horizontal="general" vertical="bottom" textRotation="0" wrapText="false" indent="0" shrinkToFit="false"/>
      <protection locked="true" hidden="false"/>
    </xf>
    <xf numFmtId="168" fontId="24" fillId="10" borderId="2" xfId="0" applyFont="true" applyBorder="true" applyAlignment="true" applyProtection="false">
      <alignment horizontal="center" vertical="center" textRotation="0" wrapText="true" indent="0" shrinkToFit="false"/>
      <protection locked="true" hidden="false"/>
    </xf>
    <xf numFmtId="164" fontId="33" fillId="10" borderId="2" xfId="0" applyFont="true" applyBorder="true" applyAlignment="true" applyProtection="false">
      <alignment horizontal="center" vertical="center" textRotation="0" wrapText="true" indent="0" shrinkToFit="false"/>
      <protection locked="true" hidden="false"/>
    </xf>
    <xf numFmtId="164" fontId="24" fillId="8" borderId="2" xfId="0" applyFont="true" applyBorder="true" applyAlignment="true" applyProtection="false">
      <alignment horizontal="center" vertical="center" textRotation="0" wrapText="true" indent="0" shrinkToFit="false"/>
      <protection locked="true" hidden="false"/>
    </xf>
    <xf numFmtId="164" fontId="11" fillId="4" borderId="2" xfId="0" applyFont="true" applyBorder="true" applyAlignment="true" applyProtection="true">
      <alignment horizontal="center" vertical="center" textRotation="0" wrapText="true" indent="0" shrinkToFit="false"/>
      <protection locked="false" hidden="false"/>
    </xf>
    <xf numFmtId="164" fontId="11" fillId="4" borderId="2" xfId="0" applyFont="true" applyBorder="true" applyAlignment="true" applyProtection="true">
      <alignment horizontal="left" vertical="center" textRotation="0" wrapText="true" indent="0" shrinkToFit="false"/>
      <protection locked="false" hidden="false"/>
    </xf>
    <xf numFmtId="169" fontId="11" fillId="4" borderId="2" xfId="0" applyFont="true" applyBorder="true" applyAlignment="true" applyProtection="true">
      <alignment horizontal="center" vertical="center" textRotation="0" wrapText="true" indent="0" shrinkToFit="false"/>
      <protection locked="false" hidden="false"/>
    </xf>
    <xf numFmtId="170" fontId="32" fillId="0" borderId="2" xfId="0" applyFont="true" applyBorder="true" applyAlignment="true" applyProtection="false">
      <alignment horizontal="center" vertical="center" textRotation="0" wrapText="true" indent="0" shrinkToFit="false"/>
      <protection locked="true" hidden="false"/>
    </xf>
    <xf numFmtId="167" fontId="11" fillId="0" borderId="2" xfId="0" applyFont="true" applyBorder="true" applyAlignment="true" applyProtection="false">
      <alignment horizontal="center" vertical="center" textRotation="0" wrapText="true" indent="0" shrinkToFit="false"/>
      <protection locked="true" hidden="false"/>
    </xf>
    <xf numFmtId="167" fontId="32" fillId="0" borderId="2" xfId="0" applyFont="true" applyBorder="true" applyAlignment="true" applyProtection="false">
      <alignment horizontal="center" vertical="center" textRotation="0" wrapText="true" indent="0" shrinkToFit="false"/>
      <protection locked="true" hidden="false"/>
    </xf>
    <xf numFmtId="170" fontId="11" fillId="0" borderId="2" xfId="0" applyFont="true" applyBorder="true" applyAlignment="true" applyProtection="false">
      <alignment horizontal="center" vertical="center" textRotation="0" wrapText="true" indent="0" shrinkToFit="false"/>
      <protection locked="true" hidden="false"/>
    </xf>
    <xf numFmtId="164" fontId="25" fillId="0" borderId="2"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true" applyProtection="false">
      <alignment horizontal="left" vertical="center" textRotation="0" wrapText="true" indent="0" shrinkToFit="false"/>
      <protection locked="true" hidden="false"/>
    </xf>
    <xf numFmtId="164" fontId="0" fillId="11" borderId="2" xfId="0" applyFont="false" applyBorder="true" applyAlignment="false" applyProtection="false">
      <alignment horizontal="general" vertical="bottom" textRotation="0" wrapText="false" indent="0" shrinkToFit="false"/>
      <protection locked="true" hidden="false"/>
    </xf>
    <xf numFmtId="164" fontId="0" fillId="12" borderId="2" xfId="0" applyFont="false" applyBorder="true" applyAlignment="false" applyProtection="false">
      <alignment horizontal="general" vertical="bottom" textRotation="0" wrapText="false" indent="0" shrinkToFit="false"/>
      <protection locked="true" hidden="false"/>
    </xf>
    <xf numFmtId="164" fontId="0" fillId="13" borderId="2" xfId="0" applyFont="false" applyBorder="true" applyAlignment="false" applyProtection="false">
      <alignment horizontal="general" vertical="bottom" textRotation="0" wrapText="false" indent="0" shrinkToFit="false"/>
      <protection locked="true" hidden="false"/>
    </xf>
    <xf numFmtId="164" fontId="0" fillId="14" borderId="2" xfId="0" applyFont="false" applyBorder="true" applyAlignment="false" applyProtection="false">
      <alignment horizontal="general" vertical="bottom" textRotation="0" wrapText="false" indent="0" shrinkToFit="false"/>
      <protection locked="true" hidden="false"/>
    </xf>
    <xf numFmtId="164" fontId="32" fillId="9" borderId="2" xfId="0" applyFont="true" applyBorder="true" applyAlignment="true" applyProtection="false">
      <alignment horizontal="left" vertical="center" textRotation="0" wrapText="true" indent="0" shrinkToFit="false"/>
      <protection locked="true" hidden="false"/>
    </xf>
    <xf numFmtId="170" fontId="11" fillId="9" borderId="2" xfId="0" applyFont="true" applyBorder="true" applyAlignment="true" applyProtection="false">
      <alignment horizontal="center" vertical="center" textRotation="0" wrapText="true" indent="0" shrinkToFit="false"/>
      <protection locked="true" hidden="false"/>
    </xf>
    <xf numFmtId="165" fontId="32" fillId="9" borderId="2" xfId="0" applyFont="true" applyBorder="true" applyAlignment="true" applyProtection="false">
      <alignment horizontal="center" vertical="center" textRotation="0" wrapText="true" indent="0" shrinkToFit="false"/>
      <protection locked="true" hidden="false"/>
    </xf>
    <xf numFmtId="167" fontId="32" fillId="9" borderId="2" xfId="0" applyFont="true" applyBorder="true" applyAlignment="true" applyProtection="false">
      <alignment horizontal="center" vertical="center" textRotation="0" wrapText="true" indent="0" shrinkToFit="false"/>
      <protection locked="true" hidden="false"/>
    </xf>
    <xf numFmtId="164" fontId="11" fillId="9" borderId="2" xfId="0" applyFont="true" applyBorder="true" applyAlignment="true" applyProtection="false">
      <alignment horizontal="center" vertical="center" textRotation="0" wrapText="true" indent="0" shrinkToFit="false"/>
      <protection locked="true" hidden="false"/>
    </xf>
    <xf numFmtId="164" fontId="27" fillId="0" borderId="0" xfId="0" applyFont="true" applyBorder="true" applyAlignment="true" applyProtection="false">
      <alignment horizontal="general" vertical="center" textRotation="0" wrapText="false" indent="1" shrinkToFit="false"/>
      <protection locked="true" hidden="false"/>
    </xf>
    <xf numFmtId="164" fontId="11" fillId="9" borderId="2" xfId="0" applyFont="true" applyBorder="true" applyAlignment="true" applyProtection="false">
      <alignment horizontal="left" vertical="center" textRotation="0" wrapText="true" indent="0" shrinkToFit="false"/>
      <protection locked="true" hidden="false"/>
    </xf>
    <xf numFmtId="171" fontId="32" fillId="4" borderId="2" xfId="0" applyFont="true" applyBorder="true" applyAlignment="true" applyProtection="true">
      <alignment horizontal="center" vertical="center" textRotation="0" wrapText="true" indent="0" shrinkToFit="false"/>
      <protection locked="false" hidden="false"/>
    </xf>
    <xf numFmtId="164" fontId="35" fillId="12" borderId="2" xfId="0" applyFont="true" applyBorder="true" applyAlignment="true" applyProtection="false">
      <alignment horizontal="center" vertical="center" textRotation="0" wrapText="true" indent="0" shrinkToFit="false"/>
      <protection locked="true" hidden="false"/>
    </xf>
    <xf numFmtId="164" fontId="11" fillId="0" borderId="2" xfId="0" applyFont="true" applyBorder="true" applyAlignment="true" applyProtection="false">
      <alignment horizontal="left" vertical="center" textRotation="0" wrapText="true" indent="0" shrinkToFit="false"/>
      <protection locked="true" hidden="false"/>
    </xf>
    <xf numFmtId="167" fontId="32" fillId="4" borderId="2" xfId="0" applyFont="true" applyBorder="true" applyAlignment="true" applyProtection="true">
      <alignment horizontal="center" vertical="center" textRotation="0" wrapText="true" indent="0" shrinkToFit="false"/>
      <protection locked="false" hidden="false"/>
    </xf>
    <xf numFmtId="165" fontId="32" fillId="4" borderId="2" xfId="0" applyFont="true" applyBorder="true" applyAlignment="true" applyProtection="true">
      <alignment horizontal="center" vertical="center" textRotation="0" wrapText="true" indent="0" shrinkToFit="false"/>
      <protection locked="false" hidden="false"/>
    </xf>
    <xf numFmtId="164" fontId="36" fillId="5" borderId="2" xfId="0" applyFont="true" applyBorder="true" applyAlignment="true" applyProtection="false">
      <alignment horizontal="center" vertical="center" textRotation="0" wrapText="true" indent="0" shrinkToFit="false"/>
      <protection locked="true" hidden="false"/>
    </xf>
    <xf numFmtId="164" fontId="37" fillId="7" borderId="2" xfId="0" applyFont="true" applyBorder="true" applyAlignment="true" applyProtection="false">
      <alignment horizontal="center" vertical="center" textRotation="0" wrapText="true" indent="0" shrinkToFit="false"/>
      <protection locked="true" hidden="false"/>
    </xf>
    <xf numFmtId="164" fontId="32" fillId="4" borderId="2" xfId="0" applyFont="true" applyBorder="true" applyAlignment="true" applyProtection="true">
      <alignment horizontal="center" vertical="center" textRotation="0" wrapText="true" indent="0" shrinkToFit="false"/>
      <protection locked="false" hidden="false"/>
    </xf>
    <xf numFmtId="164" fontId="38" fillId="13" borderId="2" xfId="0" applyFont="true" applyBorder="true" applyAlignment="true" applyProtection="false">
      <alignment horizontal="center" vertical="center" textRotation="0" wrapText="true" indent="0" shrinkToFit="false"/>
      <protection locked="true" hidden="false"/>
    </xf>
    <xf numFmtId="164" fontId="39" fillId="14" borderId="2" xfId="0" applyFont="true" applyBorder="true" applyAlignment="true" applyProtection="false">
      <alignment horizontal="center" vertical="center" textRotation="0" wrapText="true" indent="0" shrinkToFit="false"/>
      <protection locked="true" hidden="false"/>
    </xf>
    <xf numFmtId="164" fontId="4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ont>
        <name val="Arial"/>
        <charset val="1"/>
        <family val="0"/>
        <b val="1"/>
        <color rgb="FFB91C1C"/>
        <sz val="8"/>
      </font>
    </dxf>
    <dxf>
      <font>
        <name val="Arial"/>
        <charset val="1"/>
        <family val="0"/>
        <b val="1"/>
        <color rgb="FF15803D"/>
        <sz val="8"/>
      </font>
    </dxf>
    <dxf>
      <font>
        <name val="Arial"/>
        <charset val="1"/>
        <family val="0"/>
        <b val="1"/>
        <color rgb="FFB91C1C"/>
      </font>
      <fill>
        <patternFill>
          <bgColor rgb="FFFEE2E2"/>
        </patternFill>
      </fill>
    </dxf>
    <dxf>
      <font>
        <name val="Arial"/>
        <charset val="1"/>
        <family val="0"/>
        <b val="1"/>
        <color rgb="FF92400E"/>
      </font>
      <fill>
        <patternFill>
          <bgColor rgb="FFFEF3C7"/>
        </patternFill>
      </fill>
    </dxf>
    <dxf>
      <font>
        <name val="Arial"/>
        <charset val="1"/>
        <family val="0"/>
        <b val="1"/>
        <color rgb="FF475569"/>
      </font>
      <fill>
        <patternFill>
          <bgColor rgb="FFF1F5F9"/>
        </patternFill>
      </fill>
    </dxf>
    <dxf>
      <font>
        <name val="Arial"/>
        <charset val="1"/>
        <family val="0"/>
        <b val="1"/>
        <color rgb="FF15803D"/>
      </font>
      <fill>
        <patternFill>
          <bgColor rgb="FFDCFCE7"/>
        </patternFill>
      </fill>
    </dxf>
    <dxf>
      <font>
        <name val="Arial"/>
        <charset val="1"/>
        <family val="0"/>
        <b val="1"/>
        <color rgb="FF9D174D"/>
      </font>
      <fill>
        <patternFill>
          <bgColor rgb="FFFCE7F3"/>
        </patternFill>
      </fill>
    </dxf>
    <dxf>
      <font>
        <name val="Arial"/>
        <charset val="1"/>
        <family val="0"/>
        <b val="1"/>
        <color rgb="FF7F1D1D"/>
      </font>
      <fill>
        <patternFill>
          <bgColor rgb="FFFCA5A5"/>
        </patternFill>
      </fill>
    </dxf>
    <dxf>
      <font>
        <name val="Arial"/>
        <charset val="1"/>
        <family val="0"/>
        <b val="1"/>
        <color rgb="FFC2410C"/>
      </font>
      <fill>
        <patternFill>
          <bgColor rgb="FFFFEDD5"/>
        </patternFill>
      </fill>
    </dxf>
    <dxf>
      <fill>
        <patternFill>
          <bgColor rgb="FFC2410C"/>
        </patternFill>
      </fill>
    </dxf>
    <dxf>
      <fill>
        <patternFill>
          <bgColor rgb="FFE2E8F0"/>
        </patternFill>
      </fill>
    </dxf>
    <dxf>
      <font>
        <name val="Arial"/>
        <charset val="1"/>
        <family val="0"/>
        <b val="1"/>
        <color rgb="FF92400E"/>
        <sz val="9"/>
      </font>
      <fill>
        <patternFill>
          <bgColor rgb="FFFEF3C7"/>
        </patternFill>
      </fill>
    </dxf>
  </dxfs>
  <colors>
    <indexedColors>
      <rgbColor rgb="FF000000"/>
      <rgbColor rgb="FFFFFFFF"/>
      <rgbColor rgb="FFC2410C"/>
      <rgbColor rgb="FF00FF00"/>
      <rgbColor rgb="FF0000FF"/>
      <rgbColor rgb="FFFFFBEA"/>
      <rgbColor rgb="FFFF00FF"/>
      <rgbColor rgb="FF00FFFF"/>
      <rgbColor rgb="FF7F1D1D"/>
      <rgbColor rgb="FF15803D"/>
      <rgbColor rgb="FF000080"/>
      <rgbColor rgb="FF808000"/>
      <rgbColor rgb="FF800080"/>
      <rgbColor rgb="FF008080"/>
      <rgbColor rgb="FFFEE2E2"/>
      <rgbColor rgb="FF4F81BD"/>
      <rgbColor rgb="FF9999FF"/>
      <rgbColor rgb="FF9D174D"/>
      <rgbColor rgb="FFFEF3C7"/>
      <rgbColor rgb="FFDCFCE7"/>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F1F5F9"/>
      <rgbColor rgb="FFE2E8F0"/>
      <rgbColor rgb="FFFFEDD5"/>
      <rgbColor rgb="FFFCE7F3"/>
      <rgbColor rgb="FFFCA5A5"/>
      <rgbColor rgb="FFF4F6F8"/>
      <rgbColor rgb="FFFDBA74"/>
      <rgbColor rgb="FF3366FF"/>
      <rgbColor rgb="FF33CCCC"/>
      <rgbColor rgb="FF99CC00"/>
      <rgbColor rgb="FFFFCC00"/>
      <rgbColor rgb="FFFF9900"/>
      <rgbColor rgb="FFF97316"/>
      <rgbColor rgb="FF64748B"/>
      <rgbColor rgb="FF94A3B8"/>
      <rgbColor rgb="FF1B2836"/>
      <rgbColor rgb="FF339966"/>
      <rgbColor rgb="FF003300"/>
      <rgbColor rgb="FF333300"/>
      <rgbColor rgb="FF92400E"/>
      <rgbColor rgb="FFB91C1C"/>
      <rgbColor rgb="FF475569"/>
      <rgbColor rgb="FF24344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150" spc="-1" strike="noStrike">
                <a:solidFill>
                  <a:srgbClr val="1b2836"/>
                </a:solidFill>
                <a:latin typeface="Arial"/>
              </a:defRPr>
            </a:pPr>
            <a:r>
              <a:rPr b="1" sz="1150" spc="-1" strike="noStrike">
                <a:solidFill>
                  <a:srgbClr val="1b2836"/>
                </a:solidFill>
                <a:latin typeface="Arial"/>
              </a:rPr>
              <a:t>Günlük devam (çalışan sayısı)</a:t>
            </a:r>
          </a:p>
        </c:rich>
      </c:tx>
      <c:overlay val="0"/>
      <c:spPr>
        <a:noFill/>
        <a:ln w="0">
          <a:noFill/>
        </a:ln>
      </c:spPr>
    </c:title>
    <c:autoTitleDeleted val="0"/>
    <c:plotArea>
      <c:lineChart>
        <c:grouping val="standard"/>
        <c:varyColors val="0"/>
        <c:ser>
          <c:idx val="0"/>
          <c:order val="0"/>
          <c:tx>
            <c:strRef>
              <c:f>Hesap!B1</c:f>
              <c:strCache>
                <c:ptCount val="1"/>
                <c:pt idx="0">
                  <c:v>Çalışan</c:v>
                </c:pt>
              </c:strCache>
            </c:strRef>
          </c:tx>
          <c:spPr>
            <a:solidFill>
              <a:srgbClr val="c2410c"/>
            </a:solidFill>
            <a:ln w="28080">
              <a:solidFill>
                <a:srgbClr val="c2410c"/>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Hesap!$A$2:$A$32</c:f>
              <c:strCache>
                <c:ptCount val="3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strCache>
            </c:strRef>
          </c:cat>
          <c:val>
            <c:numRef>
              <c:f>Hesap!$B$2:$B$32</c:f>
              <c:numCache>
                <c:formatCode>General</c:formatCode>
                <c:ptCount val="31"/>
                <c:pt idx="0">
                  <c:v>28</c:v>
                </c:pt>
                <c:pt idx="1">
                  <c:v>28</c:v>
                </c:pt>
                <c:pt idx="2">
                  <c:v>22</c:v>
                </c:pt>
                <c:pt idx="3">
                  <c:v>0</c:v>
                </c:pt>
                <c:pt idx="4">
                  <c:v>30</c:v>
                </c:pt>
                <c:pt idx="5">
                  <c:v>29</c:v>
                </c:pt>
                <c:pt idx="6">
                  <c:v>30</c:v>
                </c:pt>
                <c:pt idx="7">
                  <c:v>30</c:v>
                </c:pt>
                <c:pt idx="8">
                  <c:v>29</c:v>
                </c:pt>
                <c:pt idx="9">
                  <c:v>18</c:v>
                </c:pt>
                <c:pt idx="10">
                  <c:v>0</c:v>
                </c:pt>
                <c:pt idx="11">
                  <c:v>29</c:v>
                </c:pt>
                <c:pt idx="12">
                  <c:v>28</c:v>
                </c:pt>
                <c:pt idx="13">
                  <c:v>28</c:v>
                </c:pt>
                <c:pt idx="14">
                  <c:v>28</c:v>
                </c:pt>
                <c:pt idx="15">
                  <c:v>30</c:v>
                </c:pt>
                <c:pt idx="16">
                  <c:v>17</c:v>
                </c:pt>
                <c:pt idx="17">
                  <c:v>0</c:v>
                </c:pt>
                <c:pt idx="18">
                  <c:v>28</c:v>
                </c:pt>
                <c:pt idx="19">
                  <c:v>30</c:v>
                </c:pt>
                <c:pt idx="20">
                  <c:v>30</c:v>
                </c:pt>
                <c:pt idx="21">
                  <c:v>29</c:v>
                </c:pt>
                <c:pt idx="22">
                  <c:v>29</c:v>
                </c:pt>
                <c:pt idx="23">
                  <c:v>18</c:v>
                </c:pt>
                <c:pt idx="24">
                  <c:v>0</c:v>
                </c:pt>
                <c:pt idx="25">
                  <c:v>28</c:v>
                </c:pt>
                <c:pt idx="26">
                  <c:v>28</c:v>
                </c:pt>
                <c:pt idx="27">
                  <c:v>30</c:v>
                </c:pt>
                <c:pt idx="28">
                  <c:v>0</c:v>
                </c:pt>
                <c:pt idx="29">
                  <c:v>30</c:v>
                </c:pt>
                <c:pt idx="30">
                  <c:v>23</c:v>
                </c:pt>
              </c:numCache>
            </c:numRef>
          </c:val>
          <c:smooth val="0"/>
        </c:ser>
        <c:ser>
          <c:idx val="1"/>
          <c:order val="1"/>
          <c:tx>
            <c:strRef>
              <c:f>Hesap!C1</c:f>
              <c:strCache>
                <c:ptCount val="1"/>
                <c:pt idx="0">
                  <c:v>Toplam personel</c:v>
                </c:pt>
              </c:strCache>
            </c:strRef>
          </c:tx>
          <c:spPr>
            <a:solidFill>
              <a:srgbClr val="1b2836"/>
            </a:solidFill>
            <a:ln w="28080">
              <a:solidFill>
                <a:srgbClr val="1b2836"/>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Hesap!$A$2:$A$32</c:f>
              <c:strCache>
                <c:ptCount val="3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strCache>
            </c:strRef>
          </c:cat>
          <c:val>
            <c:numRef>
              <c:f>Hesap!$C$2:$C$32</c:f>
              <c:numCache>
                <c:formatCode>General</c:formatCode>
                <c:ptCount val="31"/>
                <c:pt idx="0">
                  <c:v>30</c:v>
                </c:pt>
                <c:pt idx="1">
                  <c:v>30</c:v>
                </c:pt>
                <c:pt idx="2">
                  <c:v>30</c:v>
                </c:pt>
                <c:pt idx="3">
                  <c:v>0</c:v>
                </c:pt>
                <c:pt idx="4">
                  <c:v>30</c:v>
                </c:pt>
                <c:pt idx="5">
                  <c:v>30</c:v>
                </c:pt>
                <c:pt idx="6">
                  <c:v>30</c:v>
                </c:pt>
                <c:pt idx="7">
                  <c:v>30</c:v>
                </c:pt>
                <c:pt idx="8">
                  <c:v>30</c:v>
                </c:pt>
                <c:pt idx="9">
                  <c:v>30</c:v>
                </c:pt>
                <c:pt idx="10">
                  <c:v>0</c:v>
                </c:pt>
                <c:pt idx="11">
                  <c:v>30</c:v>
                </c:pt>
                <c:pt idx="12">
                  <c:v>30</c:v>
                </c:pt>
                <c:pt idx="13">
                  <c:v>30</c:v>
                </c:pt>
                <c:pt idx="14">
                  <c:v>30</c:v>
                </c:pt>
                <c:pt idx="15">
                  <c:v>30</c:v>
                </c:pt>
                <c:pt idx="16">
                  <c:v>30</c:v>
                </c:pt>
                <c:pt idx="17">
                  <c:v>0</c:v>
                </c:pt>
                <c:pt idx="18">
                  <c:v>30</c:v>
                </c:pt>
                <c:pt idx="19">
                  <c:v>30</c:v>
                </c:pt>
                <c:pt idx="20">
                  <c:v>30</c:v>
                </c:pt>
                <c:pt idx="21">
                  <c:v>30</c:v>
                </c:pt>
                <c:pt idx="22">
                  <c:v>30</c:v>
                </c:pt>
                <c:pt idx="23">
                  <c:v>30</c:v>
                </c:pt>
                <c:pt idx="24">
                  <c:v>0</c:v>
                </c:pt>
                <c:pt idx="25">
                  <c:v>30</c:v>
                </c:pt>
                <c:pt idx="26">
                  <c:v>30</c:v>
                </c:pt>
                <c:pt idx="27">
                  <c:v>30</c:v>
                </c:pt>
                <c:pt idx="28">
                  <c:v>30</c:v>
                </c:pt>
                <c:pt idx="29">
                  <c:v>30</c:v>
                </c:pt>
                <c:pt idx="30">
                  <c:v>30</c:v>
                </c:pt>
              </c:numCache>
            </c:numRef>
          </c:val>
          <c:smooth val="0"/>
        </c:ser>
        <c:hiLowLines>
          <c:spPr>
            <a:ln w="0">
              <a:noFill/>
            </a:ln>
          </c:spPr>
        </c:hiLowLines>
        <c:marker val="0"/>
        <c:axId val="72560148"/>
        <c:axId val="14910078"/>
      </c:lineChart>
      <c:catAx>
        <c:axId val="72560148"/>
        <c:scaling>
          <c:orientation val="minMax"/>
        </c:scaling>
        <c:delete val="0"/>
        <c:axPos val="b"/>
        <c:numFmt formatCode="General" sourceLinked="1"/>
        <c:majorTickMark val="none"/>
        <c:minorTickMark val="none"/>
        <c:tickLblPos val="nextTo"/>
        <c:spPr>
          <a:ln w="9360">
            <a:solidFill>
              <a:srgbClr val="cbd5e1"/>
            </a:solidFill>
            <a:round/>
          </a:ln>
        </c:spPr>
        <c:txPr>
          <a:bodyPr/>
          <a:lstStyle/>
          <a:p>
            <a:pPr>
              <a:defRPr b="0" sz="800" spc="-1" strike="noStrike">
                <a:solidFill>
                  <a:srgbClr val="475569"/>
                </a:solidFill>
                <a:latin typeface="Arial"/>
              </a:defRPr>
            </a:pPr>
          </a:p>
        </c:txPr>
        <c:crossAx val="14910078"/>
        <c:crosses val="autoZero"/>
        <c:auto val="1"/>
        <c:lblAlgn val="ctr"/>
        <c:lblOffset val="100"/>
        <c:noMultiLvlLbl val="0"/>
      </c:catAx>
      <c:valAx>
        <c:axId val="14910078"/>
        <c:scaling>
          <c:orientation val="minMax"/>
        </c:scaling>
        <c:delete val="0"/>
        <c:axPos val="l"/>
        <c:majorGridlines>
          <c:spPr>
            <a:ln w="6480">
              <a:solidFill>
                <a:srgbClr val="e2e8f0"/>
              </a:solidFill>
              <a:round/>
            </a:ln>
          </c:spPr>
        </c:majorGridlines>
        <c:numFmt formatCode="General" sourceLinked="1"/>
        <c:majorTickMark val="none"/>
        <c:minorTickMark val="none"/>
        <c:tickLblPos val="nextTo"/>
        <c:spPr>
          <a:ln w="9360">
            <a:solidFill>
              <a:srgbClr val="cbd5e1"/>
            </a:solidFill>
            <a:round/>
          </a:ln>
        </c:spPr>
        <c:txPr>
          <a:bodyPr/>
          <a:lstStyle/>
          <a:p>
            <a:pPr>
              <a:defRPr b="0" sz="800" spc="-1" strike="noStrike">
                <a:solidFill>
                  <a:srgbClr val="475569"/>
                </a:solidFill>
                <a:latin typeface="Arial"/>
              </a:defRPr>
            </a:pPr>
          </a:p>
        </c:txPr>
        <c:crossAx val="72560148"/>
        <c:crosses val="autoZero"/>
        <c:crossBetween val="between"/>
      </c:valAx>
      <c:spPr>
        <a:noFill/>
        <a:ln w="0">
          <a:noFill/>
        </a:ln>
      </c:spPr>
    </c:plotArea>
    <c:legend>
      <c:legendPos val="b"/>
      <c:overlay val="0"/>
      <c:spPr>
        <a:noFill/>
        <a:ln w="0">
          <a:noFill/>
        </a:ln>
      </c:spPr>
      <c:txPr>
        <a:bodyPr/>
        <a:lstStyle/>
        <a:p>
          <a:pPr>
            <a:defRPr b="0" sz="800" spc="-1" strike="noStrike">
              <a:solidFill>
                <a:srgbClr val="475569"/>
              </a:solidFill>
              <a:latin typeface="Arial"/>
            </a:defRPr>
          </a:pPr>
        </a:p>
      </c:txPr>
    </c:legend>
    <c:plotVisOnly val="1"/>
    <c:dispBlanksAs val="gap"/>
  </c:chart>
  <c:spPr>
    <a:solidFill>
      <a:srgbClr val="ffffff"/>
    </a:solidFill>
    <a:ln w="6480">
      <a:solidFill>
        <a:srgbClr val="e2e8f0"/>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150" spc="-1" strike="noStrike">
                <a:solidFill>
                  <a:srgbClr val="1b2836"/>
                </a:solidFill>
                <a:latin typeface="Arial"/>
              </a:defRPr>
            </a:pPr>
            <a:r>
              <a:rPr b="1" sz="1150" spc="-1" strike="noStrike">
                <a:solidFill>
                  <a:srgbClr val="1b2836"/>
                </a:solidFill>
                <a:latin typeface="Arial"/>
              </a:rPr>
              <a:t>İzin ve devamsızlık dağılımı (gün)</a:t>
            </a:r>
          </a:p>
        </c:rich>
      </c:tx>
      <c:overlay val="0"/>
      <c:spPr>
        <a:noFill/>
        <a:ln w="0">
          <a:noFill/>
        </a:ln>
      </c:spPr>
    </c:title>
    <c:autoTitleDeleted val="0"/>
    <c:plotArea>
      <c:pieChart>
        <c:varyColors val="1"/>
        <c:ser>
          <c:idx val="0"/>
          <c:order val="0"/>
          <c:tx>
            <c:strRef>
              <c:f>Hesap!F1</c:f>
              <c:strCache>
                <c:ptCount val="1"/>
                <c:pt idx="0">
                  <c:v>Gün</c:v>
                </c:pt>
              </c:strCache>
            </c:strRef>
          </c:tx>
          <c:spPr>
            <a:solidFill>
              <a:srgbClr val="4f81bd"/>
            </a:solidFill>
            <a:ln w="0">
              <a:noFill/>
            </a:ln>
          </c:spPr>
          <c:explosion val="0"/>
          <c:dPt>
            <c:idx val="0"/>
            <c:spPr>
              <a:solidFill>
                <a:srgbClr val="c2410c"/>
              </a:solidFill>
              <a:ln w="0">
                <a:noFill/>
              </a:ln>
            </c:spPr>
          </c:dPt>
          <c:dPt>
            <c:idx val="1"/>
            <c:spPr>
              <a:solidFill>
                <a:srgbClr val="1b2836"/>
              </a:solidFill>
              <a:ln w="0">
                <a:noFill/>
              </a:ln>
            </c:spPr>
          </c:dPt>
          <c:dPt>
            <c:idx val="2"/>
            <c:spPr>
              <a:solidFill>
                <a:srgbClr val="f97316"/>
              </a:solidFill>
              <a:ln w="0">
                <a:noFill/>
              </a:ln>
            </c:spPr>
          </c:dPt>
          <c:dPt>
            <c:idx val="3"/>
            <c:spPr>
              <a:solidFill>
                <a:srgbClr val="64748b"/>
              </a:solidFill>
              <a:ln w="0">
                <a:noFill/>
              </a:ln>
            </c:spPr>
          </c:dPt>
          <c:dPt>
            <c:idx val="4"/>
            <c:spPr>
              <a:solidFill>
                <a:srgbClr val="fdba74"/>
              </a:solidFill>
              <a:ln w="0">
                <a:noFill/>
              </a:ln>
            </c:spPr>
          </c:dPt>
          <c:dLbls>
            <c:dLbl>
              <c:idx val="0"/>
              <c:txPr>
                <a:bodyPr wrap="square"/>
                <a:lstStyle/>
                <a:p>
                  <a:pPr>
                    <a:defRPr b="1" sz="800" spc="-1" strike="noStrike">
                      <a:solidFill>
                        <a:srgbClr val="ffffff"/>
                      </a:solidFill>
                      <a:latin typeface="Arial"/>
                    </a:defRPr>
                  </a:pPr>
                </a:p>
              </c:txPr>
              <c:dLblPos val="bestFit"/>
              <c:showLegendKey val="0"/>
              <c:showVal val="0"/>
              <c:showCatName val="0"/>
              <c:showSerName val="0"/>
              <c:showPercent val="1"/>
              <c:separator>
</c:separator>
            </c:dLbl>
            <c:dLbl>
              <c:idx val="1"/>
              <c:txPr>
                <a:bodyPr wrap="square"/>
                <a:lstStyle/>
                <a:p>
                  <a:pPr>
                    <a:defRPr b="1" sz="800" spc="-1" strike="noStrike">
                      <a:solidFill>
                        <a:srgbClr val="ffffff"/>
                      </a:solidFill>
                      <a:latin typeface="Arial"/>
                    </a:defRPr>
                  </a:pPr>
                </a:p>
              </c:txPr>
              <c:dLblPos val="bestFit"/>
              <c:showLegendKey val="0"/>
              <c:showVal val="0"/>
              <c:showCatName val="0"/>
              <c:showSerName val="0"/>
              <c:showPercent val="1"/>
              <c:separator>
</c:separator>
            </c:dLbl>
            <c:dLbl>
              <c:idx val="2"/>
              <c:txPr>
                <a:bodyPr wrap="square"/>
                <a:lstStyle/>
                <a:p>
                  <a:pPr>
                    <a:defRPr b="1" sz="800" spc="-1" strike="noStrike">
                      <a:solidFill>
                        <a:srgbClr val="ffffff"/>
                      </a:solidFill>
                      <a:latin typeface="Arial"/>
                    </a:defRPr>
                  </a:pPr>
                </a:p>
              </c:txPr>
              <c:dLblPos val="bestFit"/>
              <c:showLegendKey val="0"/>
              <c:showVal val="0"/>
              <c:showCatName val="0"/>
              <c:showSerName val="0"/>
              <c:showPercent val="1"/>
              <c:separator>
</c:separator>
            </c:dLbl>
            <c:dLbl>
              <c:idx val="3"/>
              <c:txPr>
                <a:bodyPr wrap="square"/>
                <a:lstStyle/>
                <a:p>
                  <a:pPr>
                    <a:defRPr b="1" sz="800" spc="-1" strike="noStrike">
                      <a:solidFill>
                        <a:srgbClr val="ffffff"/>
                      </a:solidFill>
                      <a:latin typeface="Arial"/>
                    </a:defRPr>
                  </a:pPr>
                </a:p>
              </c:txPr>
              <c:dLblPos val="bestFit"/>
              <c:showLegendKey val="0"/>
              <c:showVal val="0"/>
              <c:showCatName val="0"/>
              <c:showSerName val="0"/>
              <c:showPercent val="1"/>
              <c:separator>
</c:separator>
            </c:dLbl>
            <c:dLbl>
              <c:idx val="4"/>
              <c:txPr>
                <a:bodyPr wrap="square"/>
                <a:lstStyle/>
                <a:p>
                  <a:pPr>
                    <a:defRPr b="1" sz="800" spc="-1" strike="noStrike">
                      <a:solidFill>
                        <a:srgbClr val="ffffff"/>
                      </a:solidFill>
                      <a:latin typeface="Arial"/>
                    </a:defRPr>
                  </a:pPr>
                </a:p>
              </c:txPr>
              <c:dLblPos val="bestFit"/>
              <c:showLegendKey val="0"/>
              <c:showVal val="0"/>
              <c:showCatName val="0"/>
              <c:showSerName val="0"/>
              <c:showPercent val="1"/>
              <c:separator>
</c:separator>
            </c:dLbl>
            <c:txPr>
              <a:bodyPr wrap="square"/>
              <a:lstStyle/>
              <a:p>
                <a:pPr>
                  <a:defRPr b="1" sz="800" spc="-1" strike="noStrike">
                    <a:solidFill>
                      <a:srgbClr val="ffffff"/>
                    </a:solidFill>
                    <a:latin typeface="Arial"/>
                  </a:defRPr>
                </a:pPr>
              </a:p>
            </c:txPr>
            <c:dLblPos val="bestFit"/>
            <c:showLegendKey val="0"/>
            <c:showVal val="0"/>
            <c:showCatName val="0"/>
            <c:showSerName val="0"/>
            <c:showPercent val="1"/>
            <c:separator>
</c:separator>
            <c:showLeaderLines val="1"/>
          </c:dLbls>
          <c:cat>
            <c:strRef>
              <c:f>Hesap!$E$2:$E$6</c:f>
              <c:strCache>
                <c:ptCount val="5"/>
                <c:pt idx="0">
                  <c:v>Yıllık izin</c:v>
                </c:pt>
                <c:pt idx="1">
                  <c:v>Rapor</c:v>
                </c:pt>
                <c:pt idx="2">
                  <c:v>Ücretsiz izin</c:v>
                </c:pt>
                <c:pt idx="3">
                  <c:v>Mazeret izni</c:v>
                </c:pt>
                <c:pt idx="4">
                  <c:v>Devamsızlık</c:v>
                </c:pt>
              </c:strCache>
            </c:strRef>
          </c:cat>
          <c:val>
            <c:numRef>
              <c:f>Hesap!$F$2:$F$6</c:f>
              <c:numCache>
                <c:formatCode>General</c:formatCode>
                <c:ptCount val="5"/>
                <c:pt idx="0">
                  <c:v>16</c:v>
                </c:pt>
                <c:pt idx="1">
                  <c:v>6</c:v>
                </c:pt>
                <c:pt idx="2">
                  <c:v>0</c:v>
                </c:pt>
                <c:pt idx="3">
                  <c:v>2</c:v>
                </c:pt>
                <c:pt idx="4">
                  <c:v>5</c:v>
                </c:pt>
              </c:numCache>
            </c:numRef>
          </c:val>
        </c:ser>
        <c:firstSliceAng val="0"/>
      </c:pieChart>
      <c:spPr>
        <a:noFill/>
        <a:ln w="0">
          <a:noFill/>
        </a:ln>
      </c:spPr>
    </c:plotArea>
    <c:legend>
      <c:legendPos val="b"/>
      <c:overlay val="0"/>
      <c:spPr>
        <a:noFill/>
        <a:ln w="0">
          <a:noFill/>
        </a:ln>
      </c:spPr>
      <c:txPr>
        <a:bodyPr/>
        <a:lstStyle/>
        <a:p>
          <a:pPr>
            <a:defRPr b="0" sz="800" spc="-1" strike="noStrike">
              <a:solidFill>
                <a:srgbClr val="475569"/>
              </a:solidFill>
              <a:latin typeface="Arial"/>
            </a:defRPr>
          </a:pPr>
        </a:p>
      </c:txPr>
    </c:legend>
    <c:plotVisOnly val="1"/>
    <c:dispBlanksAs val="gap"/>
  </c:chart>
  <c:spPr>
    <a:solidFill>
      <a:srgbClr val="ffffff"/>
    </a:solidFill>
    <a:ln w="6480">
      <a:solidFill>
        <a:srgbClr val="e2e8f0"/>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150" spc="-1" strike="noStrike">
                <a:solidFill>
                  <a:srgbClr val="1b2836"/>
                </a:solidFill>
                <a:latin typeface="Arial"/>
              </a:defRPr>
            </a:pPr>
            <a:r>
              <a:rPr b="1" sz="1150" spc="-1" strike="noStrike">
                <a:solidFill>
                  <a:srgbClr val="1b2836"/>
                </a:solidFill>
                <a:latin typeface="Arial"/>
              </a:rPr>
              <a:t>En yüksek fazla mesai — ilk 10 (saat)</a:t>
            </a:r>
          </a:p>
        </c:rich>
      </c:tx>
      <c:overlay val="0"/>
      <c:spPr>
        <a:noFill/>
        <a:ln w="0">
          <a:noFill/>
        </a:ln>
      </c:spPr>
    </c:title>
    <c:autoTitleDeleted val="0"/>
    <c:plotArea>
      <c:barChart>
        <c:barDir val="bar"/>
        <c:grouping val="clustered"/>
        <c:varyColors val="0"/>
        <c:ser>
          <c:idx val="0"/>
          <c:order val="0"/>
          <c:tx>
            <c:strRef>
              <c:f>Hesap!M1</c:f>
              <c:strCache>
                <c:ptCount val="1"/>
                <c:pt idx="0">
                  <c:v>Fazla mesai (saat)</c:v>
                </c:pt>
              </c:strCache>
            </c:strRef>
          </c:tx>
          <c:spPr>
            <a:solidFill>
              <a:srgbClr val="c2410c"/>
            </a:solidFill>
            <a:ln w="0">
              <a:solidFill>
                <a:srgbClr val="c2410c"/>
              </a:solidFill>
            </a:ln>
          </c:spPr>
          <c:invertIfNegative val="0"/>
          <c:dLbls>
            <c:txPr>
              <a:bodyPr wrap="square"/>
              <a:lstStyle/>
              <a:p>
                <a:pPr>
                  <a:defRPr b="0" sz="800" spc="-1" strike="noStrike">
                    <a:solidFill>
                      <a:srgbClr val="1b2836"/>
                    </a:solidFill>
                    <a:latin typeface="Arial"/>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Hesap!$L$2:$L$11</c:f>
              <c:strCache>
                <c:ptCount val="10"/>
                <c:pt idx="0">
                  <c:v>Elif Yıldız</c:v>
                </c:pt>
                <c:pt idx="1">
                  <c:v>Kerem Uçar</c:v>
                </c:pt>
                <c:pt idx="2">
                  <c:v>Büşra Erdem</c:v>
                </c:pt>
                <c:pt idx="3">
                  <c:v>Can Aydın</c:v>
                </c:pt>
                <c:pt idx="4">
                  <c:v>Barış Kılıç</c:v>
                </c:pt>
                <c:pt idx="5">
                  <c:v>Gamze Polat</c:v>
                </c:pt>
                <c:pt idx="6">
                  <c:v>Murat Doğan</c:v>
                </c:pt>
                <c:pt idx="7">
                  <c:v>Deniz Koru</c:v>
                </c:pt>
                <c:pt idx="8">
                  <c:v>Sibel Taş</c:v>
                </c:pt>
                <c:pt idx="9">
                  <c:v>Tolga Güneş</c:v>
                </c:pt>
              </c:strCache>
            </c:strRef>
          </c:cat>
          <c:val>
            <c:numRef>
              <c:f>Hesap!$M$2:$M$11</c:f>
              <c:numCache>
                <c:formatCode>General</c:formatCode>
                <c:ptCount val="10"/>
                <c:pt idx="0">
                  <c:v>29</c:v>
                </c:pt>
                <c:pt idx="1">
                  <c:v>25</c:v>
                </c:pt>
                <c:pt idx="2">
                  <c:v>24</c:v>
                </c:pt>
                <c:pt idx="3">
                  <c:v>24</c:v>
                </c:pt>
                <c:pt idx="4">
                  <c:v>21</c:v>
                </c:pt>
                <c:pt idx="5">
                  <c:v>21</c:v>
                </c:pt>
                <c:pt idx="6">
                  <c:v>21</c:v>
                </c:pt>
                <c:pt idx="7">
                  <c:v>20</c:v>
                </c:pt>
                <c:pt idx="8">
                  <c:v>20</c:v>
                </c:pt>
                <c:pt idx="9">
                  <c:v>20</c:v>
                </c:pt>
              </c:numCache>
            </c:numRef>
          </c:val>
        </c:ser>
        <c:gapWidth val="150"/>
        <c:overlap val="0"/>
        <c:axId val="44264652"/>
        <c:axId val="72699115"/>
      </c:barChart>
      <c:catAx>
        <c:axId val="44264652"/>
        <c:scaling>
          <c:orientation val="maxMin"/>
        </c:scaling>
        <c:delete val="0"/>
        <c:axPos val="b"/>
        <c:numFmt formatCode="General" sourceLinked="1"/>
        <c:majorTickMark val="none"/>
        <c:minorTickMark val="none"/>
        <c:tickLblPos val="nextTo"/>
        <c:spPr>
          <a:ln w="9360">
            <a:solidFill>
              <a:srgbClr val="cbd5e1"/>
            </a:solidFill>
            <a:round/>
          </a:ln>
        </c:spPr>
        <c:txPr>
          <a:bodyPr/>
          <a:lstStyle/>
          <a:p>
            <a:pPr>
              <a:defRPr b="0" sz="800" spc="-1" strike="noStrike">
                <a:solidFill>
                  <a:srgbClr val="475569"/>
                </a:solidFill>
                <a:latin typeface="Arial"/>
              </a:defRPr>
            </a:pPr>
          </a:p>
        </c:txPr>
        <c:crossAx val="72699115"/>
        <c:crosses val="autoZero"/>
        <c:auto val="1"/>
        <c:lblAlgn val="ctr"/>
        <c:lblOffset val="100"/>
        <c:noMultiLvlLbl val="0"/>
      </c:catAx>
      <c:valAx>
        <c:axId val="72699115"/>
        <c:scaling>
          <c:orientation val="minMax"/>
        </c:scaling>
        <c:delete val="0"/>
        <c:axPos val="l"/>
        <c:majorGridlines>
          <c:spPr>
            <a:ln w="6480">
              <a:solidFill>
                <a:srgbClr val="e2e8f0"/>
              </a:solidFill>
              <a:round/>
            </a:ln>
          </c:spPr>
        </c:majorGridlines>
        <c:numFmt formatCode="General" sourceLinked="1"/>
        <c:majorTickMark val="none"/>
        <c:minorTickMark val="none"/>
        <c:tickLblPos val="nextTo"/>
        <c:spPr>
          <a:ln w="9360">
            <a:solidFill>
              <a:srgbClr val="cbd5e1"/>
            </a:solidFill>
            <a:round/>
          </a:ln>
        </c:spPr>
        <c:txPr>
          <a:bodyPr/>
          <a:lstStyle/>
          <a:p>
            <a:pPr>
              <a:defRPr b="0" sz="800" spc="-1" strike="noStrike">
                <a:solidFill>
                  <a:srgbClr val="475569"/>
                </a:solidFill>
                <a:latin typeface="Arial"/>
              </a:defRPr>
            </a:pPr>
          </a:p>
        </c:txPr>
        <c:crossAx val="44264652"/>
        <c:crosses val="autoZero"/>
        <c:crossBetween val="between"/>
      </c:valAx>
      <c:spPr>
        <a:noFill/>
        <a:ln w="0">
          <a:noFill/>
        </a:ln>
      </c:spPr>
    </c:plotArea>
    <c:legend>
      <c:legendPos val="b"/>
      <c:overlay val="0"/>
      <c:spPr>
        <a:noFill/>
        <a:ln w="0">
          <a:noFill/>
        </a:ln>
      </c:spPr>
      <c:txPr>
        <a:bodyPr/>
        <a:lstStyle/>
        <a:p>
          <a:pPr>
            <a:defRPr b="0" sz="800" spc="-1" strike="noStrike">
              <a:solidFill>
                <a:srgbClr val="475569"/>
              </a:solidFill>
              <a:latin typeface="Arial"/>
            </a:defRPr>
          </a:pPr>
        </a:p>
      </c:txPr>
    </c:legend>
    <c:plotVisOnly val="1"/>
    <c:dispBlanksAs val="gap"/>
  </c:chart>
  <c:spPr>
    <a:solidFill>
      <a:srgbClr val="ffffff"/>
    </a:solidFill>
    <a:ln w="6480">
      <a:solidFill>
        <a:srgbClr val="e2e8f0"/>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150" spc="-1" strike="noStrike">
                <a:solidFill>
                  <a:srgbClr val="1b2836"/>
                </a:solidFill>
                <a:latin typeface="Arial"/>
              </a:defRPr>
            </a:pPr>
            <a:r>
              <a:rPr b="1" sz="1150" spc="-1" strike="noStrike">
                <a:solidFill>
                  <a:srgbClr val="1b2836"/>
                </a:solidFill>
                <a:latin typeface="Arial"/>
              </a:rPr>
              <a:t>Haftalık toplam çalışma ve normal süre (saat)</a:t>
            </a:r>
          </a:p>
        </c:rich>
      </c:tx>
      <c:overlay val="0"/>
      <c:spPr>
        <a:noFill/>
        <a:ln w="0">
          <a:noFill/>
        </a:ln>
      </c:spPr>
    </c:title>
    <c:autoTitleDeleted val="0"/>
    <c:plotArea>
      <c:barChart>
        <c:barDir val="col"/>
        <c:grouping val="clustered"/>
        <c:varyColors val="0"/>
        <c:ser>
          <c:idx val="0"/>
          <c:order val="0"/>
          <c:tx>
            <c:strRef>
              <c:f>Hesap!P1</c:f>
              <c:strCache>
                <c:ptCount val="1"/>
                <c:pt idx="0">
                  <c:v>Toplam saat</c:v>
                </c:pt>
              </c:strCache>
            </c:strRef>
          </c:tx>
          <c:spPr>
            <a:solidFill>
              <a:srgbClr val="c2410c"/>
            </a:solidFill>
            <a:ln w="0">
              <a:solidFill>
                <a:srgbClr val="c2410c"/>
              </a:solidFill>
            </a:ln>
          </c:spPr>
          <c:invertIfNegative val="0"/>
          <c:dLbls>
            <c:txPr>
              <a:bodyPr wrap="square"/>
              <a:lstStyle/>
              <a:p>
                <a:pPr>
                  <a:defRPr b="0" sz="800" spc="-1" strike="noStrike">
                    <a:solidFill>
                      <a:srgbClr val="1b2836"/>
                    </a:solidFill>
                    <a:latin typeface="Arial"/>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Hesap!$O$2:$O$6</c:f>
              <c:strCache>
                <c:ptCount val="5"/>
                <c:pt idx="0">
                  <c:v>1. hafta</c:v>
                </c:pt>
                <c:pt idx="1">
                  <c:v>2. hafta</c:v>
                </c:pt>
                <c:pt idx="2">
                  <c:v>3. hafta</c:v>
                </c:pt>
                <c:pt idx="3">
                  <c:v>4. hafta</c:v>
                </c:pt>
                <c:pt idx="4">
                  <c:v>5. hafta</c:v>
                </c:pt>
              </c:strCache>
            </c:strRef>
          </c:cat>
          <c:val>
            <c:numRef>
              <c:f>Hesap!$P$2:$P$6</c:f>
              <c:numCache>
                <c:formatCode>General</c:formatCode>
                <c:ptCount val="5"/>
                <c:pt idx="0">
                  <c:v>1353.5</c:v>
                </c:pt>
                <c:pt idx="1">
                  <c:v>1326</c:v>
                </c:pt>
                <c:pt idx="2">
                  <c:v>1338.5</c:v>
                </c:pt>
                <c:pt idx="3">
                  <c:v>1323</c:v>
                </c:pt>
                <c:pt idx="4">
                  <c:v>431.5</c:v>
                </c:pt>
              </c:numCache>
            </c:numRef>
          </c:val>
        </c:ser>
        <c:ser>
          <c:idx val="1"/>
          <c:order val="1"/>
          <c:tx>
            <c:strRef>
              <c:f>Hesap!Q1</c:f>
              <c:strCache>
                <c:ptCount val="1"/>
                <c:pt idx="0">
                  <c:v>Normal (45 × kişi)</c:v>
                </c:pt>
              </c:strCache>
            </c:strRef>
          </c:tx>
          <c:spPr>
            <a:solidFill>
              <a:srgbClr val="1b2836"/>
            </a:solidFill>
            <a:ln w="0">
              <a:solidFill>
                <a:srgbClr val="1b2836"/>
              </a:solidFill>
            </a:ln>
          </c:spPr>
          <c:invertIfNegative val="0"/>
          <c:dLbls>
            <c:txPr>
              <a:bodyPr wrap="square"/>
              <a:lstStyle/>
              <a:p>
                <a:pPr>
                  <a:defRPr b="0" sz="800" spc="-1" strike="noStrike">
                    <a:solidFill>
                      <a:srgbClr val="1b2836"/>
                    </a:solidFill>
                    <a:latin typeface="Arial"/>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Hesap!$O$2:$O$6</c:f>
              <c:strCache>
                <c:ptCount val="5"/>
                <c:pt idx="0">
                  <c:v>1. hafta</c:v>
                </c:pt>
                <c:pt idx="1">
                  <c:v>2. hafta</c:v>
                </c:pt>
                <c:pt idx="2">
                  <c:v>3. hafta</c:v>
                </c:pt>
                <c:pt idx="3">
                  <c:v>4. hafta</c:v>
                </c:pt>
                <c:pt idx="4">
                  <c:v>5. hafta</c:v>
                </c:pt>
              </c:strCache>
            </c:strRef>
          </c:cat>
          <c:val>
            <c:numRef>
              <c:f>Hesap!$Q$2:$Q$6</c:f>
              <c:numCache>
                <c:formatCode>General</c:formatCode>
                <c:ptCount val="5"/>
                <c:pt idx="0">
                  <c:v>1350</c:v>
                </c:pt>
                <c:pt idx="1">
                  <c:v>1350</c:v>
                </c:pt>
                <c:pt idx="2">
                  <c:v>1350</c:v>
                </c:pt>
                <c:pt idx="3">
                  <c:v>1350</c:v>
                </c:pt>
                <c:pt idx="4">
                  <c:v>579</c:v>
                </c:pt>
              </c:numCache>
            </c:numRef>
          </c:val>
        </c:ser>
        <c:gapWidth val="150"/>
        <c:overlap val="-10"/>
        <c:axId val="59063620"/>
        <c:axId val="81671785"/>
      </c:barChart>
      <c:catAx>
        <c:axId val="59063620"/>
        <c:scaling>
          <c:orientation val="minMax"/>
        </c:scaling>
        <c:delete val="0"/>
        <c:axPos val="b"/>
        <c:numFmt formatCode="General" sourceLinked="1"/>
        <c:majorTickMark val="none"/>
        <c:minorTickMark val="none"/>
        <c:tickLblPos val="nextTo"/>
        <c:spPr>
          <a:ln w="9360">
            <a:solidFill>
              <a:srgbClr val="cbd5e1"/>
            </a:solidFill>
            <a:round/>
          </a:ln>
        </c:spPr>
        <c:txPr>
          <a:bodyPr/>
          <a:lstStyle/>
          <a:p>
            <a:pPr>
              <a:defRPr b="0" sz="800" spc="-1" strike="noStrike">
                <a:solidFill>
                  <a:srgbClr val="475569"/>
                </a:solidFill>
                <a:latin typeface="Arial"/>
              </a:defRPr>
            </a:pPr>
          </a:p>
        </c:txPr>
        <c:crossAx val="81671785"/>
        <c:crosses val="autoZero"/>
        <c:auto val="1"/>
        <c:lblAlgn val="ctr"/>
        <c:lblOffset val="100"/>
        <c:noMultiLvlLbl val="0"/>
      </c:catAx>
      <c:valAx>
        <c:axId val="81671785"/>
        <c:scaling>
          <c:orientation val="minMax"/>
        </c:scaling>
        <c:delete val="0"/>
        <c:axPos val="l"/>
        <c:majorGridlines>
          <c:spPr>
            <a:ln w="6480">
              <a:solidFill>
                <a:srgbClr val="e2e8f0"/>
              </a:solidFill>
              <a:round/>
            </a:ln>
          </c:spPr>
        </c:majorGridlines>
        <c:numFmt formatCode="General" sourceLinked="1"/>
        <c:majorTickMark val="none"/>
        <c:minorTickMark val="none"/>
        <c:tickLblPos val="nextTo"/>
        <c:spPr>
          <a:ln w="9360">
            <a:solidFill>
              <a:srgbClr val="cbd5e1"/>
            </a:solidFill>
            <a:round/>
          </a:ln>
        </c:spPr>
        <c:txPr>
          <a:bodyPr/>
          <a:lstStyle/>
          <a:p>
            <a:pPr>
              <a:defRPr b="0" sz="800" spc="-1" strike="noStrike">
                <a:solidFill>
                  <a:srgbClr val="475569"/>
                </a:solidFill>
                <a:latin typeface="Arial"/>
              </a:defRPr>
            </a:pPr>
          </a:p>
        </c:txPr>
        <c:crossAx val="59063620"/>
        <c:crosses val="autoZero"/>
        <c:crossBetween val="between"/>
      </c:valAx>
      <c:spPr>
        <a:noFill/>
        <a:ln w="0">
          <a:noFill/>
        </a:ln>
      </c:spPr>
    </c:plotArea>
    <c:legend>
      <c:legendPos val="b"/>
      <c:overlay val="0"/>
      <c:spPr>
        <a:noFill/>
        <a:ln w="0">
          <a:noFill/>
        </a:ln>
      </c:spPr>
      <c:txPr>
        <a:bodyPr/>
        <a:lstStyle/>
        <a:p>
          <a:pPr>
            <a:defRPr b="0" sz="800" spc="-1" strike="noStrike">
              <a:solidFill>
                <a:srgbClr val="475569"/>
              </a:solidFill>
              <a:latin typeface="Arial"/>
            </a:defRPr>
          </a:pPr>
        </a:p>
      </c:txPr>
    </c:legend>
    <c:plotVisOnly val="1"/>
    <c:dispBlanksAs val="gap"/>
  </c:chart>
  <c:spPr>
    <a:solidFill>
      <a:srgbClr val="ffffff"/>
    </a:solidFill>
    <a:ln w="6480">
      <a:solidFill>
        <a:srgbClr val="e2e8f0"/>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3</xdr:col>
      <xdr:colOff>155880</xdr:colOff>
      <xdr:row>3</xdr:row>
      <xdr:rowOff>380520</xdr:rowOff>
    </xdr:to>
    <xdr:pic>
      <xdr:nvPicPr>
        <xdr:cNvPr id="0" name="Image 1" descr="Picture"/>
        <xdr:cNvPicPr/>
      </xdr:nvPicPr>
      <xdr:blipFill>
        <a:blip r:embed="rId1"/>
        <a:stretch/>
      </xdr:blipFill>
      <xdr:spPr>
        <a:xfrm>
          <a:off x="211320" y="228600"/>
          <a:ext cx="1142640" cy="11426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9</xdr:row>
      <xdr:rowOff>0</xdr:rowOff>
    </xdr:from>
    <xdr:to>
      <xdr:col>12</xdr:col>
      <xdr:colOff>378000</xdr:colOff>
      <xdr:row>23</xdr:row>
      <xdr:rowOff>140760</xdr:rowOff>
    </xdr:to>
    <xdr:graphicFrame>
      <xdr:nvGraphicFramePr>
        <xdr:cNvPr id="1" name="Chart 1"/>
        <xdr:cNvGraphicFramePr/>
      </xdr:nvGraphicFramePr>
      <xdr:xfrm>
        <a:off x="141120" y="2057400"/>
        <a:ext cx="5183640" cy="2807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0</xdr:colOff>
      <xdr:row>9</xdr:row>
      <xdr:rowOff>0</xdr:rowOff>
    </xdr:from>
    <xdr:to>
      <xdr:col>25</xdr:col>
      <xdr:colOff>126000</xdr:colOff>
      <xdr:row>23</xdr:row>
      <xdr:rowOff>140760</xdr:rowOff>
    </xdr:to>
    <xdr:graphicFrame>
      <xdr:nvGraphicFramePr>
        <xdr:cNvPr id="2" name="Chart 2"/>
        <xdr:cNvGraphicFramePr/>
      </xdr:nvGraphicFramePr>
      <xdr:xfrm>
        <a:off x="5524560" y="2057400"/>
        <a:ext cx="4931640" cy="2807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25</xdr:row>
      <xdr:rowOff>0</xdr:rowOff>
    </xdr:from>
    <xdr:to>
      <xdr:col>12</xdr:col>
      <xdr:colOff>378000</xdr:colOff>
      <xdr:row>38</xdr:row>
      <xdr:rowOff>188280</xdr:rowOff>
    </xdr:to>
    <xdr:graphicFrame>
      <xdr:nvGraphicFramePr>
        <xdr:cNvPr id="3" name="Chart 3"/>
        <xdr:cNvGraphicFramePr/>
      </xdr:nvGraphicFramePr>
      <xdr:xfrm>
        <a:off x="141120" y="5105520"/>
        <a:ext cx="5183640" cy="2807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0</xdr:colOff>
      <xdr:row>41</xdr:row>
      <xdr:rowOff>0</xdr:rowOff>
    </xdr:from>
    <xdr:to>
      <xdr:col>12</xdr:col>
      <xdr:colOff>378000</xdr:colOff>
      <xdr:row>54</xdr:row>
      <xdr:rowOff>188280</xdr:rowOff>
    </xdr:to>
    <xdr:graphicFrame>
      <xdr:nvGraphicFramePr>
        <xdr:cNvPr id="4" name="Chart 4"/>
        <xdr:cNvGraphicFramePr/>
      </xdr:nvGraphicFramePr>
      <xdr:xfrm>
        <a:off x="141120" y="8296200"/>
        <a:ext cx="5183640" cy="2807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takmoserp.com/sablonlar"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836"/>
    <pageSetUpPr fitToPage="true"/>
  </sheetPr>
  <dimension ref="A1:N4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14" min="2" style="0" width="7"/>
  </cols>
  <sheetData>
    <row r="1" customFormat="false" ht="18" hidden="false" customHeight="true" outlineLevel="0" collapsed="false">
      <c r="A1" s="1"/>
      <c r="B1" s="1"/>
      <c r="C1" s="1"/>
      <c r="D1" s="1"/>
      <c r="E1" s="1"/>
      <c r="F1" s="1"/>
      <c r="G1" s="1"/>
      <c r="H1" s="1"/>
      <c r="I1" s="1"/>
      <c r="J1" s="1"/>
      <c r="K1" s="1"/>
      <c r="L1" s="1"/>
      <c r="M1" s="1"/>
      <c r="N1" s="1"/>
    </row>
    <row r="2" customFormat="false" ht="30" hidden="false" customHeight="true" outlineLevel="0" collapsed="false">
      <c r="A2" s="1"/>
      <c r="B2" s="1"/>
      <c r="C2" s="1"/>
      <c r="D2" s="1"/>
      <c r="E2" s="1"/>
      <c r="F2" s="1"/>
      <c r="G2" s="1"/>
      <c r="H2" s="1"/>
      <c r="I2" s="1"/>
      <c r="J2" s="1"/>
      <c r="K2" s="1"/>
      <c r="L2" s="1"/>
      <c r="M2" s="1"/>
      <c r="N2" s="1"/>
    </row>
    <row r="3" customFormat="false" ht="30" hidden="false" customHeight="true" outlineLevel="0" collapsed="false">
      <c r="A3" s="1"/>
      <c r="B3" s="1"/>
      <c r="C3" s="1"/>
      <c r="D3" s="1"/>
      <c r="E3" s="2" t="s">
        <v>0</v>
      </c>
      <c r="F3" s="2"/>
      <c r="G3" s="2"/>
      <c r="H3" s="2"/>
      <c r="I3" s="2"/>
      <c r="J3" s="2"/>
      <c r="K3" s="2"/>
      <c r="L3" s="2"/>
      <c r="M3" s="2"/>
      <c r="N3" s="2"/>
    </row>
    <row r="4" customFormat="false" ht="30" hidden="false" customHeight="true" outlineLevel="0" collapsed="false">
      <c r="A4" s="1"/>
      <c r="B4" s="1"/>
      <c r="C4" s="1"/>
      <c r="D4" s="1"/>
      <c r="E4" s="3" t="s">
        <v>1</v>
      </c>
      <c r="F4" s="3"/>
      <c r="G4" s="3"/>
      <c r="H4" s="3"/>
      <c r="I4" s="3"/>
      <c r="J4" s="3"/>
      <c r="K4" s="3"/>
      <c r="L4" s="3"/>
      <c r="M4" s="3"/>
      <c r="N4" s="3"/>
    </row>
    <row r="5" customFormat="false" ht="30" hidden="false" customHeight="true" outlineLevel="0" collapsed="false">
      <c r="A5" s="1"/>
      <c r="B5" s="1"/>
      <c r="C5" s="1"/>
      <c r="D5" s="1"/>
      <c r="E5" s="4" t="s">
        <v>2</v>
      </c>
      <c r="F5" s="4"/>
      <c r="G5" s="4"/>
      <c r="H5" s="4"/>
      <c r="I5" s="4"/>
      <c r="J5" s="4"/>
      <c r="K5" s="4"/>
      <c r="L5" s="4"/>
      <c r="M5" s="4"/>
      <c r="N5" s="4"/>
    </row>
    <row r="6" customFormat="false" ht="15" hidden="false" customHeight="false" outlineLevel="0" collapsed="false">
      <c r="A6" s="1"/>
      <c r="B6" s="1"/>
      <c r="C6" s="1"/>
      <c r="D6" s="1"/>
      <c r="E6" s="1"/>
      <c r="F6" s="1"/>
      <c r="G6" s="1"/>
      <c r="H6" s="1"/>
      <c r="I6" s="1"/>
      <c r="J6" s="1"/>
      <c r="K6" s="1"/>
      <c r="L6" s="1"/>
      <c r="M6" s="1"/>
      <c r="N6" s="1"/>
    </row>
    <row r="7" customFormat="false" ht="15" hidden="false" customHeight="false" outlineLevel="0" collapsed="false">
      <c r="A7" s="1"/>
      <c r="B7" s="1"/>
      <c r="C7" s="1"/>
      <c r="D7" s="1"/>
      <c r="E7" s="1"/>
      <c r="F7" s="1"/>
      <c r="G7" s="1"/>
      <c r="H7" s="1"/>
      <c r="I7" s="1"/>
      <c r="J7" s="1"/>
      <c r="K7" s="1"/>
      <c r="L7" s="1"/>
      <c r="M7" s="1"/>
      <c r="N7" s="1"/>
    </row>
    <row r="8" customFormat="false" ht="15" hidden="false" customHeight="true" outlineLevel="0" collapsed="false">
      <c r="A8" s="1"/>
      <c r="B8" s="5" t="s">
        <v>3</v>
      </c>
      <c r="C8" s="5"/>
      <c r="D8" s="5"/>
      <c r="E8" s="5"/>
      <c r="F8" s="5"/>
      <c r="G8" s="5"/>
      <c r="H8" s="5"/>
      <c r="I8" s="5"/>
      <c r="J8" s="5"/>
      <c r="K8" s="5"/>
      <c r="L8" s="5"/>
      <c r="M8" s="5"/>
      <c r="N8" s="5"/>
    </row>
    <row r="9" customFormat="false" ht="15" hidden="false" customHeight="false" outlineLevel="0" collapsed="false">
      <c r="A9" s="1"/>
      <c r="B9" s="5"/>
      <c r="C9" s="5"/>
      <c r="D9" s="5"/>
      <c r="E9" s="5"/>
      <c r="F9" s="5"/>
      <c r="G9" s="5"/>
      <c r="H9" s="5"/>
      <c r="I9" s="5"/>
      <c r="J9" s="5"/>
      <c r="K9" s="5"/>
      <c r="L9" s="5"/>
      <c r="M9" s="5"/>
      <c r="N9" s="5"/>
    </row>
    <row r="10" customFormat="false" ht="15" hidden="false" customHeight="false" outlineLevel="0" collapsed="false">
      <c r="A10" s="1"/>
      <c r="B10" s="5"/>
      <c r="C10" s="5"/>
      <c r="D10" s="5"/>
      <c r="E10" s="5"/>
      <c r="F10" s="5"/>
      <c r="G10" s="5"/>
      <c r="H10" s="5"/>
      <c r="I10" s="5"/>
      <c r="J10" s="5"/>
      <c r="K10" s="5"/>
      <c r="L10" s="5"/>
      <c r="M10" s="5"/>
      <c r="N10" s="5"/>
    </row>
    <row r="11" customFormat="false" ht="15" hidden="false" customHeight="false" outlineLevel="0" collapsed="false">
      <c r="A11" s="1"/>
      <c r="B11" s="5"/>
      <c r="C11" s="5"/>
      <c r="D11" s="5"/>
      <c r="E11" s="5"/>
      <c r="F11" s="5"/>
      <c r="G11" s="5"/>
      <c r="H11" s="5"/>
      <c r="I11" s="5"/>
      <c r="J11" s="5"/>
      <c r="K11" s="5"/>
      <c r="L11" s="5"/>
      <c r="M11" s="5"/>
      <c r="N11" s="5"/>
    </row>
    <row r="12" customFormat="false" ht="15" hidden="false" customHeight="false" outlineLevel="0" collapsed="false">
      <c r="A12" s="1"/>
      <c r="B12" s="1"/>
      <c r="C12" s="1"/>
      <c r="D12" s="1"/>
      <c r="E12" s="1"/>
      <c r="F12" s="1"/>
      <c r="G12" s="1"/>
      <c r="H12" s="1"/>
      <c r="I12" s="1"/>
      <c r="J12" s="1"/>
      <c r="K12" s="1"/>
      <c r="L12" s="1"/>
      <c r="M12" s="1"/>
      <c r="N12" s="1"/>
    </row>
    <row r="13" customFormat="false" ht="18" hidden="false" customHeight="true" outlineLevel="0" collapsed="false">
      <c r="A13" s="6"/>
      <c r="B13" s="6"/>
      <c r="C13" s="6"/>
      <c r="D13" s="6"/>
      <c r="E13" s="6"/>
      <c r="F13" s="6"/>
      <c r="G13" s="6"/>
      <c r="H13" s="6"/>
      <c r="I13" s="6"/>
      <c r="J13" s="6"/>
      <c r="K13" s="6"/>
      <c r="L13" s="6"/>
      <c r="M13" s="6"/>
      <c r="N13" s="6"/>
    </row>
    <row r="14" customFormat="false" ht="19.5" hidden="false" customHeight="true" outlineLevel="0" collapsed="false">
      <c r="A14" s="6"/>
      <c r="B14" s="7" t="s">
        <v>4</v>
      </c>
      <c r="C14" s="7"/>
      <c r="D14" s="7"/>
      <c r="E14" s="7"/>
      <c r="F14" s="7"/>
      <c r="G14" s="7"/>
      <c r="H14" s="6"/>
      <c r="I14" s="7" t="s">
        <v>5</v>
      </c>
      <c r="J14" s="7"/>
      <c r="K14" s="7"/>
      <c r="L14" s="7"/>
      <c r="M14" s="7"/>
      <c r="N14" s="7"/>
    </row>
    <row r="15" customFormat="false" ht="30" hidden="false" customHeight="true" outlineLevel="0" collapsed="false">
      <c r="A15" s="6"/>
      <c r="B15" s="8" t="s">
        <v>6</v>
      </c>
      <c r="C15" s="8"/>
      <c r="D15" s="8"/>
      <c r="E15" s="9" t="s">
        <v>7</v>
      </c>
      <c r="F15" s="9"/>
      <c r="G15" s="9"/>
      <c r="H15" s="6"/>
      <c r="I15" s="10" t="s">
        <v>8</v>
      </c>
      <c r="J15" s="10"/>
      <c r="K15" s="10"/>
      <c r="L15" s="10"/>
      <c r="M15" s="10"/>
      <c r="N15" s="10"/>
    </row>
    <row r="16" customFormat="false" ht="30" hidden="false" customHeight="true" outlineLevel="0" collapsed="false">
      <c r="A16" s="6"/>
      <c r="B16" s="8" t="s">
        <v>9</v>
      </c>
      <c r="C16" s="8"/>
      <c r="D16" s="8"/>
      <c r="E16" s="9" t="s">
        <v>10</v>
      </c>
      <c r="F16" s="9"/>
      <c r="G16" s="9"/>
      <c r="H16" s="6"/>
      <c r="I16" s="10" t="s">
        <v>11</v>
      </c>
      <c r="J16" s="10"/>
      <c r="K16" s="10"/>
      <c r="L16" s="10"/>
      <c r="M16" s="10"/>
      <c r="N16" s="10"/>
    </row>
    <row r="17" customFormat="false" ht="30" hidden="false" customHeight="true" outlineLevel="0" collapsed="false">
      <c r="A17" s="6"/>
      <c r="B17" s="8" t="s">
        <v>12</v>
      </c>
      <c r="C17" s="8"/>
      <c r="D17" s="8"/>
      <c r="E17" s="9" t="s">
        <v>13</v>
      </c>
      <c r="F17" s="9"/>
      <c r="G17" s="9"/>
      <c r="H17" s="6"/>
      <c r="I17" s="10" t="s">
        <v>14</v>
      </c>
      <c r="J17" s="10"/>
      <c r="K17" s="10"/>
      <c r="L17" s="10"/>
      <c r="M17" s="10"/>
      <c r="N17" s="10"/>
    </row>
    <row r="18" customFormat="false" ht="30" hidden="false" customHeight="true" outlineLevel="0" collapsed="false">
      <c r="A18" s="6"/>
      <c r="B18" s="8" t="s">
        <v>15</v>
      </c>
      <c r="C18" s="8"/>
      <c r="D18" s="8"/>
      <c r="E18" s="9" t="s">
        <v>16</v>
      </c>
      <c r="F18" s="9"/>
      <c r="G18" s="9"/>
      <c r="H18" s="6"/>
      <c r="I18" s="10" t="s">
        <v>17</v>
      </c>
      <c r="J18" s="10"/>
      <c r="K18" s="10"/>
      <c r="L18" s="10"/>
      <c r="M18" s="10"/>
      <c r="N18" s="10"/>
    </row>
    <row r="19" customFormat="false" ht="18" hidden="false" customHeight="true" outlineLevel="0" collapsed="false">
      <c r="A19" s="6"/>
      <c r="B19" s="6"/>
      <c r="C19" s="6"/>
      <c r="D19" s="6"/>
      <c r="E19" s="6"/>
      <c r="F19" s="6"/>
      <c r="G19" s="6"/>
      <c r="H19" s="6"/>
      <c r="I19" s="6"/>
      <c r="J19" s="6"/>
      <c r="K19" s="6"/>
      <c r="L19" s="6"/>
      <c r="M19" s="6"/>
      <c r="N19" s="6"/>
    </row>
    <row r="20" customFormat="false" ht="18" hidden="false" customHeight="true" outlineLevel="0" collapsed="false">
      <c r="A20" s="6"/>
      <c r="B20" s="6"/>
      <c r="C20" s="6"/>
      <c r="D20" s="6"/>
      <c r="E20" s="6"/>
      <c r="F20" s="6"/>
      <c r="G20" s="6"/>
      <c r="H20" s="6"/>
      <c r="I20" s="6"/>
      <c r="J20" s="6"/>
      <c r="K20" s="6"/>
      <c r="L20" s="6"/>
      <c r="M20" s="6"/>
      <c r="N20" s="6"/>
    </row>
    <row r="21" customFormat="false" ht="18" hidden="false" customHeight="true" outlineLevel="0" collapsed="false">
      <c r="A21" s="6"/>
      <c r="B21" s="11"/>
      <c r="C21" s="12" t="s">
        <v>18</v>
      </c>
      <c r="D21" s="12"/>
      <c r="E21" s="12"/>
      <c r="F21" s="12"/>
      <c r="G21" s="12"/>
      <c r="H21" s="6"/>
      <c r="I21" s="13" t="s">
        <v>19</v>
      </c>
      <c r="J21" s="13"/>
      <c r="K21" s="13"/>
      <c r="L21" s="13"/>
      <c r="M21" s="13"/>
      <c r="N21" s="13"/>
    </row>
    <row r="22" customFormat="false" ht="18" hidden="false" customHeight="true" outlineLevel="0" collapsed="false">
      <c r="A22" s="6"/>
      <c r="B22" s="14"/>
      <c r="C22" s="12" t="s">
        <v>20</v>
      </c>
      <c r="D22" s="12"/>
      <c r="E22" s="12"/>
      <c r="F22" s="12"/>
      <c r="G22" s="12"/>
      <c r="H22" s="6"/>
      <c r="I22" s="13"/>
      <c r="J22" s="13"/>
      <c r="K22" s="13"/>
      <c r="L22" s="13"/>
      <c r="M22" s="13"/>
      <c r="N22" s="13"/>
    </row>
    <row r="23" customFormat="false" ht="18" hidden="false" customHeight="true" outlineLevel="0" collapsed="false">
      <c r="A23" s="6"/>
      <c r="B23" s="15"/>
      <c r="C23" s="12" t="s">
        <v>21</v>
      </c>
      <c r="D23" s="12"/>
      <c r="E23" s="12"/>
      <c r="F23" s="12"/>
      <c r="G23" s="12"/>
      <c r="H23" s="6"/>
      <c r="I23" s="13"/>
      <c r="J23" s="13"/>
      <c r="K23" s="13"/>
      <c r="L23" s="13"/>
      <c r="M23" s="13"/>
      <c r="N23" s="13"/>
    </row>
    <row r="24" customFormat="false" ht="18" hidden="false" customHeight="true" outlineLevel="0" collapsed="false">
      <c r="A24" s="6"/>
      <c r="B24" s="16"/>
      <c r="C24" s="12" t="s">
        <v>22</v>
      </c>
      <c r="D24" s="12"/>
      <c r="E24" s="12"/>
      <c r="F24" s="12"/>
      <c r="G24" s="12"/>
      <c r="H24" s="6"/>
      <c r="I24" s="13"/>
      <c r="J24" s="13"/>
      <c r="K24" s="13"/>
      <c r="L24" s="13"/>
      <c r="M24" s="13"/>
      <c r="N24" s="13"/>
    </row>
    <row r="25" customFormat="false" ht="18" hidden="false" customHeight="true" outlineLevel="0" collapsed="false">
      <c r="A25" s="6"/>
      <c r="B25" s="17"/>
      <c r="C25" s="12" t="s">
        <v>23</v>
      </c>
      <c r="D25" s="12"/>
      <c r="E25" s="12"/>
      <c r="F25" s="12"/>
      <c r="G25" s="12"/>
      <c r="H25" s="6"/>
      <c r="I25" s="13"/>
      <c r="J25" s="13"/>
      <c r="K25" s="13"/>
      <c r="L25" s="13"/>
      <c r="M25" s="13"/>
      <c r="N25" s="13"/>
    </row>
    <row r="26" customFormat="false" ht="18" hidden="false" customHeight="true" outlineLevel="0" collapsed="false">
      <c r="A26" s="6"/>
      <c r="B26" s="6"/>
      <c r="C26" s="6"/>
      <c r="D26" s="6"/>
      <c r="E26" s="6"/>
      <c r="F26" s="6"/>
      <c r="G26" s="6"/>
      <c r="H26" s="6"/>
      <c r="I26" s="6"/>
      <c r="J26" s="6"/>
      <c r="K26" s="6"/>
      <c r="L26" s="6"/>
      <c r="M26" s="6"/>
      <c r="N26" s="6"/>
    </row>
    <row r="27" customFormat="false" ht="18" hidden="false" customHeight="true" outlineLevel="0" collapsed="false">
      <c r="A27" s="6"/>
      <c r="B27" s="6"/>
      <c r="C27" s="6"/>
      <c r="D27" s="6"/>
      <c r="E27" s="6"/>
      <c r="F27" s="6"/>
      <c r="G27" s="6"/>
      <c r="H27" s="6"/>
      <c r="I27" s="6"/>
      <c r="J27" s="6"/>
      <c r="K27" s="6"/>
      <c r="L27" s="6"/>
      <c r="M27" s="6"/>
      <c r="N27" s="6"/>
    </row>
    <row r="28" customFormat="false" ht="18" hidden="false" customHeight="true" outlineLevel="0" collapsed="false">
      <c r="A28" s="6"/>
      <c r="B28" s="18" t="s">
        <v>24</v>
      </c>
      <c r="C28" s="18"/>
      <c r="D28" s="18"/>
      <c r="E28" s="18"/>
      <c r="F28" s="18"/>
      <c r="G28" s="18"/>
      <c r="H28" s="18"/>
      <c r="I28" s="18"/>
      <c r="J28" s="18"/>
      <c r="K28" s="18"/>
      <c r="L28" s="18"/>
      <c r="M28" s="18"/>
      <c r="N28" s="18"/>
    </row>
    <row r="29" customFormat="false" ht="18" hidden="false" customHeight="true" outlineLevel="0" collapsed="false">
      <c r="A29" s="6"/>
      <c r="B29" s="6"/>
      <c r="C29" s="6"/>
      <c r="D29" s="6"/>
      <c r="E29" s="6"/>
      <c r="F29" s="6"/>
      <c r="G29" s="6"/>
      <c r="H29" s="6"/>
      <c r="I29" s="6"/>
      <c r="J29" s="6"/>
      <c r="K29" s="6"/>
      <c r="L29" s="6"/>
      <c r="M29" s="6"/>
      <c r="N29" s="6"/>
    </row>
    <row r="30" customFormat="false" ht="3.75" hidden="false" customHeight="true" outlineLevel="0" collapsed="false">
      <c r="A30" s="19"/>
      <c r="B30" s="19"/>
      <c r="C30" s="19"/>
      <c r="D30" s="19"/>
      <c r="E30" s="19"/>
      <c r="F30" s="19"/>
      <c r="G30" s="19"/>
      <c r="H30" s="19"/>
      <c r="I30" s="19"/>
      <c r="J30" s="19"/>
      <c r="K30" s="19"/>
      <c r="L30" s="19"/>
      <c r="M30" s="19"/>
      <c r="N30" s="19"/>
    </row>
    <row r="31" customFormat="false" ht="18" hidden="false" customHeight="true" outlineLevel="0" collapsed="false">
      <c r="A31" s="6"/>
      <c r="B31" s="6"/>
      <c r="C31" s="6"/>
      <c r="D31" s="6"/>
      <c r="E31" s="6"/>
      <c r="F31" s="6"/>
      <c r="G31" s="6"/>
      <c r="H31" s="6"/>
      <c r="I31" s="6"/>
      <c r="J31" s="6"/>
      <c r="K31" s="6"/>
      <c r="L31" s="6"/>
      <c r="M31" s="6"/>
      <c r="N31" s="6"/>
    </row>
    <row r="32" customFormat="false" ht="18" hidden="false" customHeight="true" outlineLevel="0" collapsed="false">
      <c r="A32" s="6"/>
      <c r="B32" s="6"/>
      <c r="C32" s="6"/>
      <c r="D32" s="6"/>
      <c r="E32" s="6"/>
      <c r="F32" s="6"/>
      <c r="G32" s="6"/>
      <c r="H32" s="6"/>
      <c r="I32" s="6"/>
      <c r="J32" s="6"/>
      <c r="K32" s="6"/>
      <c r="L32" s="6"/>
      <c r="M32" s="6"/>
      <c r="N32" s="6"/>
    </row>
    <row r="33" customFormat="false" ht="18" hidden="false" customHeight="true" outlineLevel="0" collapsed="false">
      <c r="A33" s="6"/>
      <c r="B33" s="6"/>
      <c r="C33" s="6"/>
      <c r="D33" s="6"/>
      <c r="E33" s="6"/>
      <c r="F33" s="6"/>
      <c r="G33" s="6"/>
      <c r="H33" s="6"/>
      <c r="I33" s="6"/>
      <c r="J33" s="6"/>
      <c r="K33" s="6"/>
      <c r="L33" s="6"/>
      <c r="M33" s="6"/>
      <c r="N33" s="6"/>
    </row>
    <row r="34" customFormat="false" ht="18" hidden="false" customHeight="true" outlineLevel="0" collapsed="false">
      <c r="A34" s="6"/>
      <c r="B34" s="6"/>
      <c r="C34" s="6"/>
      <c r="D34" s="6"/>
      <c r="E34" s="6"/>
      <c r="F34" s="6"/>
      <c r="G34" s="6"/>
      <c r="H34" s="6"/>
      <c r="I34" s="6"/>
      <c r="J34" s="6"/>
      <c r="K34" s="6"/>
      <c r="L34" s="6"/>
      <c r="M34" s="6"/>
      <c r="N34" s="6"/>
    </row>
    <row r="35" customFormat="false" ht="18" hidden="false" customHeight="true" outlineLevel="0" collapsed="false">
      <c r="A35" s="6"/>
      <c r="B35" s="6"/>
      <c r="C35" s="6"/>
      <c r="D35" s="6"/>
      <c r="E35" s="6"/>
      <c r="F35" s="6"/>
      <c r="G35" s="6"/>
      <c r="H35" s="6"/>
      <c r="I35" s="6"/>
      <c r="J35" s="6"/>
      <c r="K35" s="6"/>
      <c r="L35" s="6"/>
      <c r="M35" s="6"/>
      <c r="N35" s="6"/>
    </row>
    <row r="36" customFormat="false" ht="18" hidden="false" customHeight="true" outlineLevel="0" collapsed="false">
      <c r="A36" s="6"/>
      <c r="B36" s="6"/>
      <c r="C36" s="6"/>
      <c r="D36" s="6"/>
      <c r="E36" s="6"/>
      <c r="F36" s="6"/>
      <c r="G36" s="6"/>
      <c r="H36" s="6"/>
      <c r="I36" s="6"/>
      <c r="J36" s="6"/>
      <c r="K36" s="6"/>
      <c r="L36" s="6"/>
      <c r="M36" s="6"/>
      <c r="N36" s="6"/>
    </row>
    <row r="37" customFormat="false" ht="18" hidden="false" customHeight="true" outlineLevel="0" collapsed="false">
      <c r="A37" s="6"/>
      <c r="B37" s="6"/>
      <c r="C37" s="6"/>
      <c r="D37" s="6"/>
      <c r="E37" s="6"/>
      <c r="F37" s="6"/>
      <c r="G37" s="6"/>
      <c r="H37" s="6"/>
      <c r="I37" s="6"/>
      <c r="J37" s="6"/>
      <c r="K37" s="6"/>
      <c r="L37" s="6"/>
      <c r="M37" s="6"/>
      <c r="N37" s="6"/>
    </row>
    <row r="38" customFormat="false" ht="18" hidden="false" customHeight="true" outlineLevel="0" collapsed="false">
      <c r="A38" s="6"/>
      <c r="B38" s="6"/>
      <c r="C38" s="6"/>
      <c r="D38" s="6"/>
      <c r="E38" s="6"/>
      <c r="F38" s="6"/>
      <c r="G38" s="6"/>
      <c r="H38" s="6"/>
      <c r="I38" s="6"/>
      <c r="J38" s="6"/>
      <c r="K38" s="6"/>
      <c r="L38" s="6"/>
      <c r="M38" s="6"/>
      <c r="N38" s="6"/>
    </row>
    <row r="39" customFormat="false" ht="18" hidden="false" customHeight="true" outlineLevel="0" collapsed="false">
      <c r="A39" s="6"/>
      <c r="B39" s="6"/>
      <c r="C39" s="6"/>
      <c r="D39" s="6"/>
      <c r="E39" s="6"/>
      <c r="F39" s="6"/>
      <c r="G39" s="6"/>
      <c r="H39" s="6"/>
      <c r="I39" s="6"/>
      <c r="J39" s="6"/>
      <c r="K39" s="6"/>
      <c r="L39" s="6"/>
      <c r="M39" s="6"/>
      <c r="N39" s="6"/>
    </row>
    <row r="40" customFormat="false" ht="18" hidden="false" customHeight="true" outlineLevel="0" collapsed="false">
      <c r="A40" s="6"/>
      <c r="B40" s="6"/>
      <c r="C40" s="6"/>
      <c r="D40" s="6"/>
      <c r="E40" s="6"/>
      <c r="F40" s="6"/>
      <c r="G40" s="6"/>
      <c r="H40" s="6"/>
      <c r="I40" s="6"/>
      <c r="J40" s="6"/>
      <c r="K40" s="6"/>
      <c r="L40" s="6"/>
      <c r="M40" s="6"/>
      <c r="N40" s="6"/>
    </row>
    <row r="41" customFormat="false" ht="18" hidden="false" customHeight="true" outlineLevel="0" collapsed="false">
      <c r="A41" s="6"/>
      <c r="B41" s="6"/>
      <c r="C41" s="6"/>
      <c r="D41" s="6"/>
      <c r="E41" s="6"/>
      <c r="F41" s="6"/>
      <c r="G41" s="6"/>
      <c r="H41" s="6"/>
      <c r="I41" s="6"/>
      <c r="J41" s="6"/>
      <c r="K41" s="6"/>
      <c r="L41" s="6"/>
      <c r="M41" s="6"/>
      <c r="N41" s="6"/>
    </row>
    <row r="42" customFormat="false" ht="18" hidden="false" customHeight="true" outlineLevel="0" collapsed="false">
      <c r="A42" s="6"/>
      <c r="B42" s="6"/>
      <c r="C42" s="6"/>
      <c r="D42" s="6"/>
      <c r="E42" s="6"/>
      <c r="F42" s="6"/>
      <c r="G42" s="6"/>
      <c r="H42" s="6"/>
      <c r="I42" s="6"/>
      <c r="J42" s="6"/>
      <c r="K42" s="6"/>
      <c r="L42" s="6"/>
      <c r="M42" s="6"/>
      <c r="N42" s="6"/>
    </row>
    <row r="43" customFormat="false" ht="18" hidden="false" customHeight="true" outlineLevel="0" collapsed="false">
      <c r="A43" s="6"/>
      <c r="B43" s="6"/>
      <c r="C43" s="6"/>
      <c r="D43" s="6"/>
      <c r="E43" s="6"/>
      <c r="F43" s="6"/>
      <c r="G43" s="6"/>
      <c r="H43" s="6"/>
      <c r="I43" s="6"/>
      <c r="J43" s="6"/>
      <c r="K43" s="6"/>
      <c r="L43" s="6"/>
      <c r="M43" s="6"/>
      <c r="N43" s="6"/>
    </row>
    <row r="44" customFormat="false" ht="18" hidden="false" customHeight="true" outlineLevel="0" collapsed="false">
      <c r="A44" s="6"/>
      <c r="B44" s="6"/>
      <c r="C44" s="6"/>
      <c r="D44" s="6"/>
      <c r="E44" s="6"/>
      <c r="F44" s="6"/>
      <c r="G44" s="6"/>
      <c r="H44" s="6"/>
      <c r="I44" s="6"/>
      <c r="J44" s="6"/>
      <c r="K44" s="6"/>
      <c r="L44" s="6"/>
      <c r="M44" s="6"/>
      <c r="N44" s="6"/>
    </row>
    <row r="45" customFormat="false" ht="18" hidden="false" customHeight="true" outlineLevel="0" collapsed="false">
      <c r="A45" s="6"/>
      <c r="B45" s="6"/>
      <c r="C45" s="6"/>
      <c r="D45" s="6"/>
      <c r="E45" s="6"/>
      <c r="F45" s="6"/>
      <c r="G45" s="6"/>
      <c r="H45" s="6"/>
      <c r="I45" s="6"/>
      <c r="J45" s="6"/>
      <c r="K45" s="6"/>
      <c r="L45" s="6"/>
      <c r="M45" s="6"/>
      <c r="N45" s="6"/>
    </row>
    <row r="46" customFormat="false" ht="18" hidden="false" customHeight="true" outlineLevel="0" collapsed="false">
      <c r="A46" s="6"/>
      <c r="B46" s="6"/>
      <c r="C46" s="6"/>
      <c r="D46" s="6"/>
      <c r="E46" s="6"/>
      <c r="F46" s="6"/>
      <c r="G46" s="6"/>
      <c r="H46" s="6"/>
      <c r="I46" s="6"/>
      <c r="J46" s="6"/>
      <c r="K46" s="6"/>
      <c r="L46" s="6"/>
      <c r="M46" s="6"/>
      <c r="N46" s="6"/>
    </row>
    <row r="47" customFormat="false" ht="18" hidden="false" customHeight="true" outlineLevel="0" collapsed="false">
      <c r="A47" s="6"/>
      <c r="B47" s="6"/>
      <c r="C47" s="6"/>
      <c r="D47" s="6"/>
      <c r="E47" s="6"/>
      <c r="F47" s="6"/>
      <c r="G47" s="6"/>
      <c r="H47" s="6"/>
      <c r="I47" s="6"/>
      <c r="J47" s="6"/>
      <c r="K47" s="6"/>
      <c r="L47" s="6"/>
      <c r="M47" s="6"/>
      <c r="N47" s="6"/>
    </row>
    <row r="48" customFormat="false" ht="18" hidden="false" customHeight="true" outlineLevel="0" collapsed="false">
      <c r="A48" s="6"/>
      <c r="B48" s="6"/>
      <c r="C48" s="6"/>
      <c r="D48" s="6"/>
      <c r="E48" s="6"/>
      <c r="F48" s="6"/>
      <c r="G48" s="6"/>
      <c r="H48" s="6"/>
      <c r="I48" s="6"/>
      <c r="J48" s="6"/>
      <c r="K48" s="6"/>
      <c r="L48" s="6"/>
      <c r="M48" s="6"/>
      <c r="N48" s="6"/>
    </row>
    <row r="49" customFormat="false" ht="18" hidden="false" customHeight="true" outlineLevel="0" collapsed="false">
      <c r="A49" s="6"/>
      <c r="B49" s="6"/>
      <c r="C49" s="6"/>
      <c r="D49" s="6"/>
      <c r="E49" s="6"/>
      <c r="F49" s="6"/>
      <c r="G49" s="6"/>
      <c r="H49" s="6"/>
      <c r="I49" s="6"/>
      <c r="J49" s="6"/>
      <c r="K49" s="6"/>
      <c r="L49" s="6"/>
      <c r="M49" s="6"/>
      <c r="N49" s="6"/>
    </row>
  </sheetData>
  <mergeCells count="25">
    <mergeCell ref="E3:N3"/>
    <mergeCell ref="E4:N4"/>
    <mergeCell ref="E5:N5"/>
    <mergeCell ref="B8:N11"/>
    <mergeCell ref="B14:G14"/>
    <mergeCell ref="I14:N14"/>
    <mergeCell ref="B15:D15"/>
    <mergeCell ref="E15:G15"/>
    <mergeCell ref="I15:N15"/>
    <mergeCell ref="B16:D16"/>
    <mergeCell ref="E16:G16"/>
    <mergeCell ref="I16:N16"/>
    <mergeCell ref="B17:D17"/>
    <mergeCell ref="E17:G17"/>
    <mergeCell ref="I17:N17"/>
    <mergeCell ref="B18:D18"/>
    <mergeCell ref="E18:G18"/>
    <mergeCell ref="I18:N18"/>
    <mergeCell ref="C21:G21"/>
    <mergeCell ref="I21:N25"/>
    <mergeCell ref="C22:G22"/>
    <mergeCell ref="C23:G23"/>
    <mergeCell ref="C24:G24"/>
    <mergeCell ref="C25:G25"/>
    <mergeCell ref="B28:N28"/>
  </mergeCells>
  <hyperlinks>
    <hyperlink ref="B15" location="'Dashboard'!A1" display="→  Dashboard"/>
    <hyperlink ref="B16" location="'Puantaj'!A1" display="→  Puantaj"/>
    <hyperlink ref="B17" location="'Ayarlar'!A1" display="→  Ayarlar"/>
    <hyperlink ref="B18" location="'Nasıl kullanılır'!A1" display="→  Nasıl kullanılır"/>
    <hyperlink ref="B28" r:id="rId1" display="Daha fazla şablon, rehber yazıları ve TAKMOS İK Modülü demosu: takmoserp.com/sablonlar"/>
  </hyperlinks>
  <printOptions headings="false" gridLines="false" gridLinesSet="true" horizontalCentered="false" verticalCentered="false"/>
  <pageMargins left="0.4" right="0.4"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3" min="2" style="0" width="6.2"/>
    <col collapsed="false" customWidth="true" hidden="false" outlineLevel="0" max="14" min="14" style="0" width="2"/>
    <col collapsed="false" customWidth="true" hidden="false" outlineLevel="0" max="25" min="15" style="0" width="6.2"/>
    <col collapsed="false" customWidth="true" hidden="false" outlineLevel="0" max="26" min="26" style="0" width="2"/>
  </cols>
  <sheetData>
    <row r="1" customFormat="false" ht="33.75" hidden="false" customHeight="true" outlineLevel="0" collapsed="false">
      <c r="A1" s="20" t="s">
        <v>25</v>
      </c>
      <c r="B1" s="20"/>
      <c r="C1" s="20"/>
      <c r="D1" s="20"/>
      <c r="E1" s="20"/>
      <c r="F1" s="20"/>
      <c r="G1" s="20"/>
      <c r="H1" s="20"/>
      <c r="I1" s="20"/>
      <c r="J1" s="20"/>
      <c r="K1" s="20"/>
      <c r="L1" s="20"/>
      <c r="M1" s="20"/>
      <c r="N1" s="20"/>
      <c r="O1" s="20"/>
      <c r="P1" s="20"/>
      <c r="Q1" s="20"/>
      <c r="R1" s="20"/>
      <c r="S1" s="20"/>
      <c r="T1" s="20"/>
      <c r="U1" s="21" t="s">
        <v>26</v>
      </c>
      <c r="V1" s="21"/>
      <c r="W1" s="21"/>
      <c r="X1" s="21"/>
      <c r="Y1" s="21"/>
    </row>
    <row r="2" customFormat="false" ht="19.5" hidden="false" customHeight="true" outlineLevel="0" collapsed="false">
      <c r="A2" s="22" t="s">
        <v>27</v>
      </c>
      <c r="B2" s="22"/>
      <c r="C2" s="22"/>
      <c r="D2" s="22"/>
      <c r="E2" s="22"/>
      <c r="F2" s="22"/>
      <c r="G2" s="22"/>
      <c r="H2" s="22"/>
      <c r="I2" s="22"/>
      <c r="J2" s="22"/>
      <c r="K2" s="22"/>
      <c r="L2" s="22"/>
      <c r="M2" s="22"/>
      <c r="N2" s="22"/>
      <c r="O2" s="22"/>
      <c r="P2" s="22"/>
      <c r="Q2" s="22"/>
      <c r="R2" s="22"/>
      <c r="S2" s="23" t="s">
        <v>28</v>
      </c>
      <c r="T2" s="23"/>
      <c r="U2" s="23"/>
      <c r="V2" s="23"/>
      <c r="W2" s="23"/>
      <c r="X2" s="23"/>
      <c r="Y2" s="23"/>
    </row>
    <row r="3" customFormat="false" ht="19.5" hidden="false" customHeight="true" outlineLevel="0" collapsed="false">
      <c r="A3" s="24"/>
      <c r="B3" s="25" t="s">
        <v>29</v>
      </c>
      <c r="C3" s="25"/>
      <c r="D3" s="26" t="s">
        <v>30</v>
      </c>
      <c r="E3" s="26"/>
      <c r="F3" s="26" t="s">
        <v>31</v>
      </c>
      <c r="G3" s="26"/>
      <c r="H3" s="26" t="s">
        <v>32</v>
      </c>
      <c r="I3" s="26"/>
      <c r="J3" s="24"/>
      <c r="K3" s="24"/>
      <c r="L3" s="24"/>
      <c r="M3" s="24"/>
      <c r="N3" s="24"/>
      <c r="O3" s="24"/>
      <c r="P3" s="24"/>
      <c r="Q3" s="24"/>
      <c r="R3" s="24"/>
      <c r="S3" s="24"/>
      <c r="T3" s="24"/>
      <c r="U3" s="24"/>
      <c r="V3" s="24"/>
      <c r="W3" s="24"/>
      <c r="X3" s="24"/>
      <c r="Y3" s="24"/>
      <c r="Z3" s="24"/>
    </row>
    <row r="4" customFormat="false" ht="19.5" hidden="false" customHeight="true" outlineLevel="0" collapsed="false">
      <c r="A4" s="24"/>
      <c r="B4" s="24"/>
      <c r="C4" s="24"/>
      <c r="D4" s="24"/>
      <c r="E4" s="24"/>
      <c r="F4" s="24"/>
      <c r="G4" s="24"/>
      <c r="H4" s="24"/>
      <c r="I4" s="24"/>
      <c r="J4" s="24"/>
      <c r="K4" s="24"/>
      <c r="L4" s="24"/>
      <c r="M4" s="24"/>
      <c r="N4" s="24"/>
      <c r="O4" s="24"/>
      <c r="P4" s="24"/>
      <c r="Q4" s="24"/>
      <c r="R4" s="24"/>
      <c r="S4" s="27" t="str">
        <f aca="false">Ayarlar!$B$10&amp;" · "&amp;CHOOSE(MONTH(Ayarlar!$B$5),"Ocak","Şubat","Mart","Nisan","Mayıs","Haziran","Temmuz","Ağustos","Eylül","Ekim","Kasım","Aralık")&amp;" "&amp;YEAR(Ayarlar!$B$5)</f>
        <v>Montaj · Ekim 2026</v>
      </c>
      <c r="T4" s="27"/>
      <c r="U4" s="27"/>
      <c r="V4" s="27"/>
      <c r="W4" s="27"/>
      <c r="X4" s="27"/>
      <c r="Y4" s="27"/>
      <c r="Z4" s="24"/>
    </row>
    <row r="5" customFormat="false" ht="15" hidden="false" customHeight="true" outlineLevel="0" collapsed="false">
      <c r="A5" s="24"/>
      <c r="B5" s="28" t="s">
        <v>33</v>
      </c>
      <c r="C5" s="28"/>
      <c r="D5" s="28"/>
      <c r="E5" s="28"/>
      <c r="F5" s="29" t="s">
        <v>34</v>
      </c>
      <c r="G5" s="29"/>
      <c r="H5" s="29"/>
      <c r="I5" s="29"/>
      <c r="J5" s="28" t="s">
        <v>35</v>
      </c>
      <c r="K5" s="28"/>
      <c r="L5" s="28"/>
      <c r="M5" s="28"/>
      <c r="N5" s="24"/>
      <c r="O5" s="29" t="s">
        <v>36</v>
      </c>
      <c r="P5" s="29"/>
      <c r="Q5" s="29"/>
      <c r="R5" s="29"/>
      <c r="S5" s="28" t="s">
        <v>37</v>
      </c>
      <c r="T5" s="28"/>
      <c r="U5" s="28"/>
      <c r="V5" s="28"/>
      <c r="W5" s="28" t="s">
        <v>38</v>
      </c>
      <c r="X5" s="28"/>
      <c r="Y5" s="28"/>
      <c r="Z5" s="24"/>
    </row>
    <row r="6" customFormat="false" ht="15" hidden="false" customHeight="true" outlineLevel="0" collapsed="false">
      <c r="A6" s="24"/>
      <c r="B6" s="30" t="n">
        <f aca="false">COUNTA(Puantaj!A11:A40)</f>
        <v>30</v>
      </c>
      <c r="C6" s="30"/>
      <c r="D6" s="30"/>
      <c r="E6" s="30"/>
      <c r="F6" s="31" t="n">
        <f aca="false">Puantaj!$AK$41</f>
        <v>470</v>
      </c>
      <c r="G6" s="31"/>
      <c r="H6" s="31"/>
      <c r="I6" s="31"/>
      <c r="J6" s="32" t="n">
        <f aca="false">IFERROR(Puantaj!$AK$41/COUNTA(Puantaj!A11:A40),0)</f>
        <v>15.6666666666667</v>
      </c>
      <c r="K6" s="32"/>
      <c r="L6" s="32"/>
      <c r="M6" s="32"/>
      <c r="N6" s="24"/>
      <c r="O6" s="33" t="n">
        <f aca="false">Puantaj!$AP$41</f>
        <v>5</v>
      </c>
      <c r="P6" s="33"/>
      <c r="Q6" s="33"/>
      <c r="R6" s="33"/>
      <c r="S6" s="30" t="n">
        <f aca="false">Puantaj!$AM$41+Puantaj!$AN$41+Puantaj!$AO$41</f>
        <v>22</v>
      </c>
      <c r="T6" s="30"/>
      <c r="U6" s="30"/>
      <c r="V6" s="30"/>
      <c r="W6" s="30" t="n">
        <f aca="false">SUMPRODUCT(--(Puantaj!AR11:AR40&lt;&gt;""))</f>
        <v>5</v>
      </c>
      <c r="X6" s="30"/>
      <c r="Y6" s="30"/>
      <c r="Z6" s="24"/>
    </row>
    <row r="7" customFormat="false" ht="15" hidden="false" customHeight="true" outlineLevel="0" collapsed="false">
      <c r="A7" s="24"/>
      <c r="B7" s="30"/>
      <c r="C7" s="30"/>
      <c r="D7" s="30"/>
      <c r="E7" s="30"/>
      <c r="F7" s="31"/>
      <c r="G7" s="31"/>
      <c r="H7" s="31"/>
      <c r="I7" s="31"/>
      <c r="J7" s="32"/>
      <c r="K7" s="32"/>
      <c r="L7" s="32"/>
      <c r="M7" s="32"/>
      <c r="N7" s="24"/>
      <c r="O7" s="33"/>
      <c r="P7" s="33"/>
      <c r="Q7" s="33"/>
      <c r="R7" s="33"/>
      <c r="S7" s="30"/>
      <c r="T7" s="30"/>
      <c r="U7" s="30"/>
      <c r="V7" s="30"/>
      <c r="W7" s="30"/>
      <c r="X7" s="30"/>
      <c r="Y7" s="30"/>
      <c r="Z7" s="24"/>
    </row>
    <row r="8" customFormat="false" ht="15" hidden="false" customHeight="true" outlineLevel="0" collapsed="false">
      <c r="A8" s="24"/>
      <c r="B8" s="34" t="s">
        <v>39</v>
      </c>
      <c r="C8" s="34"/>
      <c r="D8" s="34"/>
      <c r="E8" s="34"/>
      <c r="F8" s="35" t="s">
        <v>40</v>
      </c>
      <c r="G8" s="35"/>
      <c r="H8" s="35"/>
      <c r="I8" s="35"/>
      <c r="J8" s="34" t="str">
        <f aca="false">IF(Puantaj!$AK$41/COUNTA(Puantaj!A11:A40)&gt;=Ayarlar!$B$8*0.5,"▲ eşiğin yarısını aştı","▼ eşiğin altında")</f>
        <v>▲ eşiğin yarısını aştı</v>
      </c>
      <c r="K8" s="34"/>
      <c r="L8" s="34"/>
      <c r="M8" s="34"/>
      <c r="N8" s="24"/>
      <c r="O8" s="35" t="s">
        <v>41</v>
      </c>
      <c r="P8" s="35"/>
      <c r="Q8" s="35"/>
      <c r="R8" s="35"/>
      <c r="S8" s="34" t="s">
        <v>42</v>
      </c>
      <c r="T8" s="34"/>
      <c r="U8" s="34"/>
      <c r="V8" s="34"/>
      <c r="W8" s="34" t="s">
        <v>43</v>
      </c>
      <c r="X8" s="34"/>
      <c r="Y8" s="34"/>
      <c r="Z8" s="24"/>
    </row>
    <row r="9" customFormat="false" ht="9.75" hidden="false" customHeight="true" outlineLevel="0" collapsed="false">
      <c r="A9" s="24"/>
      <c r="B9" s="24"/>
      <c r="C9" s="24"/>
      <c r="D9" s="24"/>
      <c r="E9" s="24"/>
      <c r="F9" s="24"/>
      <c r="G9" s="24"/>
      <c r="H9" s="24"/>
      <c r="I9" s="24"/>
      <c r="J9" s="24"/>
      <c r="K9" s="24"/>
      <c r="L9" s="24"/>
      <c r="M9" s="24"/>
      <c r="N9" s="24"/>
      <c r="O9" s="24"/>
      <c r="P9" s="24"/>
      <c r="Q9" s="24"/>
      <c r="R9" s="24"/>
      <c r="S9" s="24"/>
      <c r="T9" s="24"/>
      <c r="U9" s="24"/>
      <c r="V9" s="24"/>
      <c r="W9" s="24"/>
      <c r="X9" s="24"/>
      <c r="Y9" s="24"/>
      <c r="Z9" s="24"/>
    </row>
    <row r="10" customFormat="false" ht="15" hidden="false" customHeight="true" outlineLevel="0" collapsed="false">
      <c r="A10" s="24"/>
      <c r="B10" s="24"/>
      <c r="C10" s="24"/>
      <c r="D10" s="24"/>
      <c r="E10" s="24"/>
      <c r="F10" s="24"/>
      <c r="G10" s="24"/>
      <c r="H10" s="24"/>
      <c r="I10" s="24"/>
      <c r="J10" s="24"/>
      <c r="K10" s="24"/>
      <c r="L10" s="24"/>
      <c r="M10" s="24"/>
      <c r="N10" s="24"/>
      <c r="O10" s="24"/>
      <c r="P10" s="24"/>
      <c r="Q10" s="24"/>
      <c r="R10" s="24"/>
      <c r="S10" s="24"/>
      <c r="T10" s="24"/>
      <c r="U10" s="24"/>
      <c r="V10" s="24"/>
      <c r="W10" s="24"/>
      <c r="X10" s="24"/>
      <c r="Y10" s="24"/>
      <c r="Z10" s="24"/>
    </row>
    <row r="11" customFormat="false" ht="15" hidden="false" customHeight="true" outlineLevel="0" collapsed="false">
      <c r="A11" s="24"/>
      <c r="B11" s="24"/>
      <c r="C11" s="24"/>
      <c r="D11" s="24"/>
      <c r="E11" s="24"/>
      <c r="F11" s="24"/>
      <c r="G11" s="24"/>
      <c r="H11" s="24"/>
      <c r="I11" s="24"/>
      <c r="J11" s="24"/>
      <c r="K11" s="24"/>
      <c r="L11" s="24"/>
      <c r="M11" s="24"/>
      <c r="N11" s="24"/>
      <c r="O11" s="24"/>
      <c r="P11" s="24"/>
      <c r="Q11" s="24"/>
      <c r="R11" s="24"/>
      <c r="S11" s="24"/>
      <c r="T11" s="24"/>
      <c r="U11" s="24"/>
      <c r="V11" s="24"/>
      <c r="W11" s="24"/>
      <c r="X11" s="24"/>
      <c r="Y11" s="24"/>
      <c r="Z11" s="24"/>
    </row>
    <row r="12" customFormat="false" ht="15" hidden="false" customHeight="true" outlineLevel="0" collapsed="false">
      <c r="A12" s="24"/>
      <c r="B12" s="24"/>
      <c r="C12" s="24"/>
      <c r="D12" s="24"/>
      <c r="E12" s="24"/>
      <c r="F12" s="24"/>
      <c r="G12" s="24"/>
      <c r="H12" s="24"/>
      <c r="I12" s="24"/>
      <c r="J12" s="24"/>
      <c r="K12" s="24"/>
      <c r="L12" s="24"/>
      <c r="M12" s="24"/>
      <c r="N12" s="24"/>
      <c r="O12" s="24"/>
      <c r="P12" s="24"/>
      <c r="Q12" s="24"/>
      <c r="R12" s="24"/>
      <c r="S12" s="24"/>
      <c r="T12" s="24"/>
      <c r="U12" s="24"/>
      <c r="V12" s="24"/>
      <c r="W12" s="24"/>
      <c r="X12" s="24"/>
      <c r="Y12" s="24"/>
      <c r="Z12" s="24"/>
    </row>
    <row r="13" customFormat="false" ht="15" hidden="false" customHeight="true" outlineLevel="0" collapsed="false">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row>
    <row r="14" customFormat="false" ht="15" hidden="false" customHeight="true" outlineLevel="0" collapsed="false">
      <c r="A14" s="24"/>
      <c r="B14" s="24"/>
      <c r="C14" s="24"/>
      <c r="D14" s="24"/>
      <c r="E14" s="24"/>
      <c r="F14" s="24"/>
      <c r="G14" s="24"/>
      <c r="H14" s="24"/>
      <c r="I14" s="24"/>
      <c r="J14" s="24"/>
      <c r="K14" s="24"/>
      <c r="L14" s="24"/>
      <c r="M14" s="24"/>
      <c r="N14" s="24"/>
      <c r="O14" s="24"/>
      <c r="P14" s="24"/>
      <c r="Q14" s="24"/>
      <c r="R14" s="24"/>
      <c r="S14" s="24"/>
      <c r="T14" s="24"/>
      <c r="U14" s="24"/>
      <c r="V14" s="24"/>
      <c r="W14" s="24"/>
      <c r="X14" s="24"/>
      <c r="Y14" s="24"/>
      <c r="Z14" s="24"/>
    </row>
    <row r="15" customFormat="false" ht="15" hidden="false" customHeight="true" outlineLevel="0" collapsed="false">
      <c r="A15" s="24"/>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customFormat="false" ht="15" hidden="false" customHeight="true" outlineLevel="0" collapsed="false">
      <c r="A16" s="24"/>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customFormat="false" ht="15" hidden="false" customHeight="true" outlineLevel="0" collapsed="false">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24"/>
    </row>
    <row r="18" customFormat="false" ht="15" hidden="false" customHeight="true" outlineLevel="0" collapsed="false">
      <c r="A18" s="24"/>
      <c r="B18" s="24"/>
      <c r="C18" s="24"/>
      <c r="D18" s="24"/>
      <c r="E18" s="24"/>
      <c r="F18" s="24"/>
      <c r="G18" s="24"/>
      <c r="H18" s="24"/>
      <c r="I18" s="24"/>
      <c r="J18" s="24"/>
      <c r="K18" s="24"/>
      <c r="L18" s="24"/>
      <c r="M18" s="24"/>
      <c r="N18" s="24"/>
      <c r="O18" s="24"/>
      <c r="P18" s="24"/>
      <c r="Q18" s="24"/>
      <c r="R18" s="24"/>
      <c r="S18" s="24"/>
      <c r="T18" s="24"/>
      <c r="U18" s="24"/>
      <c r="V18" s="24"/>
      <c r="W18" s="24"/>
      <c r="X18" s="24"/>
      <c r="Y18" s="24"/>
      <c r="Z18" s="24"/>
    </row>
    <row r="19" customFormat="false" ht="15" hidden="false" customHeight="true" outlineLevel="0" collapsed="false">
      <c r="A19" s="24"/>
      <c r="B19" s="24"/>
      <c r="C19" s="24"/>
      <c r="D19" s="24"/>
      <c r="E19" s="24"/>
      <c r="F19" s="24"/>
      <c r="G19" s="24"/>
      <c r="H19" s="24"/>
      <c r="I19" s="24"/>
      <c r="J19" s="24"/>
      <c r="K19" s="24"/>
      <c r="L19" s="24"/>
      <c r="M19" s="24"/>
      <c r="N19" s="24"/>
      <c r="O19" s="24"/>
      <c r="P19" s="24"/>
      <c r="Q19" s="24"/>
      <c r="R19" s="24"/>
      <c r="S19" s="24"/>
      <c r="T19" s="24"/>
      <c r="U19" s="24"/>
      <c r="V19" s="24"/>
      <c r="W19" s="24"/>
      <c r="X19" s="24"/>
      <c r="Y19" s="24"/>
      <c r="Z19" s="24"/>
    </row>
    <row r="20" customFormat="false" ht="15" hidden="false" customHeight="true" outlineLevel="0" collapsed="false">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row>
    <row r="21" customFormat="false" ht="15" hidden="false" customHeight="true" outlineLevel="0" collapsed="false">
      <c r="A21" s="24"/>
      <c r="B21" s="24"/>
      <c r="C21" s="24"/>
      <c r="D21" s="24"/>
      <c r="E21" s="24"/>
      <c r="F21" s="24"/>
      <c r="G21" s="24"/>
      <c r="H21" s="24"/>
      <c r="I21" s="24"/>
      <c r="J21" s="24"/>
      <c r="K21" s="24"/>
      <c r="L21" s="24"/>
      <c r="M21" s="24"/>
      <c r="N21" s="24"/>
      <c r="O21" s="24"/>
      <c r="P21" s="24"/>
      <c r="Q21" s="24"/>
      <c r="R21" s="24"/>
      <c r="S21" s="24"/>
      <c r="T21" s="24"/>
      <c r="U21" s="24"/>
      <c r="V21" s="24"/>
      <c r="W21" s="24"/>
      <c r="X21" s="24"/>
      <c r="Y21" s="24"/>
      <c r="Z21" s="24"/>
    </row>
    <row r="22" customFormat="false" ht="15" hidden="false" customHeight="true" outlineLevel="0" collapsed="false">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row>
    <row r="23" customFormat="false" ht="15" hidden="false" customHeight="true" outlineLevel="0" collapsed="false">
      <c r="A23" s="24"/>
      <c r="B23" s="24"/>
      <c r="C23" s="24"/>
      <c r="D23" s="24"/>
      <c r="E23" s="24"/>
      <c r="F23" s="24"/>
      <c r="G23" s="24"/>
      <c r="H23" s="24"/>
      <c r="I23" s="24"/>
      <c r="J23" s="24"/>
      <c r="K23" s="24"/>
      <c r="L23" s="24"/>
      <c r="M23" s="24"/>
      <c r="N23" s="24"/>
      <c r="O23" s="24"/>
      <c r="P23" s="24"/>
      <c r="Q23" s="24"/>
      <c r="R23" s="24"/>
      <c r="S23" s="24"/>
      <c r="T23" s="24"/>
      <c r="U23" s="24"/>
      <c r="V23" s="24"/>
      <c r="W23" s="24"/>
      <c r="X23" s="24"/>
      <c r="Y23" s="24"/>
      <c r="Z23" s="24"/>
    </row>
    <row r="24" customFormat="false" ht="15" hidden="false" customHeight="true" outlineLevel="0" collapsed="false">
      <c r="A24" s="24"/>
      <c r="B24" s="24"/>
      <c r="C24" s="24"/>
      <c r="D24" s="24"/>
      <c r="E24" s="24"/>
      <c r="F24" s="24"/>
      <c r="G24" s="24"/>
      <c r="H24" s="24"/>
      <c r="I24" s="24"/>
      <c r="J24" s="24"/>
      <c r="K24" s="24"/>
      <c r="L24" s="24"/>
      <c r="M24" s="24"/>
      <c r="N24" s="24"/>
      <c r="O24" s="24"/>
      <c r="P24" s="24"/>
      <c r="Q24" s="24"/>
      <c r="R24" s="24"/>
      <c r="S24" s="24"/>
      <c r="T24" s="24"/>
      <c r="U24" s="24"/>
      <c r="V24" s="24"/>
      <c r="W24" s="24"/>
      <c r="X24" s="24"/>
      <c r="Y24" s="24"/>
      <c r="Z24" s="24"/>
    </row>
    <row r="25" customFormat="false" ht="15" hidden="false" customHeight="true" outlineLevel="0" collapsed="false">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row>
    <row r="26" customFormat="false" ht="19.5" hidden="false" customHeight="true" outlineLevel="0" collapsed="false">
      <c r="A26" s="24"/>
      <c r="B26" s="24"/>
      <c r="C26" s="24"/>
      <c r="D26" s="24"/>
      <c r="E26" s="24"/>
      <c r="F26" s="24"/>
      <c r="G26" s="24"/>
      <c r="H26" s="24"/>
      <c r="I26" s="24"/>
      <c r="J26" s="24"/>
      <c r="K26" s="24"/>
      <c r="L26" s="24"/>
      <c r="M26" s="24"/>
      <c r="N26" s="24"/>
      <c r="O26" s="36" t="s">
        <v>44</v>
      </c>
      <c r="P26" s="36"/>
      <c r="Q26" s="36"/>
      <c r="R26" s="36"/>
      <c r="S26" s="36"/>
      <c r="T26" s="36"/>
      <c r="U26" s="36"/>
      <c r="V26" s="36"/>
      <c r="W26" s="36"/>
      <c r="X26" s="36"/>
      <c r="Y26" s="36"/>
      <c r="Z26" s="24"/>
    </row>
    <row r="27" customFormat="false" ht="21.75" hidden="false" customHeight="true" outlineLevel="0" collapsed="false">
      <c r="A27" s="24"/>
      <c r="B27" s="24"/>
      <c r="C27" s="24"/>
      <c r="D27" s="24"/>
      <c r="E27" s="24"/>
      <c r="F27" s="24"/>
      <c r="G27" s="24"/>
      <c r="H27" s="24"/>
      <c r="I27" s="24"/>
      <c r="J27" s="24"/>
      <c r="K27" s="24"/>
      <c r="L27" s="24"/>
      <c r="M27" s="24"/>
      <c r="N27" s="24"/>
      <c r="O27" s="37" t="s">
        <v>45</v>
      </c>
      <c r="P27" s="37"/>
      <c r="Q27" s="37"/>
      <c r="R27" s="37"/>
      <c r="S27" s="37"/>
      <c r="T27" s="37"/>
      <c r="U27" s="37"/>
      <c r="V27" s="37" t="s">
        <v>46</v>
      </c>
      <c r="W27" s="37"/>
      <c r="X27" s="37"/>
      <c r="Y27" s="37"/>
      <c r="Z27" s="24"/>
    </row>
    <row r="28" customFormat="false" ht="15" hidden="false" customHeight="true" outlineLevel="0" collapsed="false">
      <c r="A28" s="24"/>
      <c r="B28" s="24"/>
      <c r="C28" s="24"/>
      <c r="D28" s="24"/>
      <c r="E28" s="24"/>
      <c r="F28" s="24"/>
      <c r="G28" s="24"/>
      <c r="H28" s="24"/>
      <c r="I28" s="24"/>
      <c r="J28" s="24"/>
      <c r="K28" s="24"/>
      <c r="L28" s="24"/>
      <c r="M28" s="24"/>
      <c r="N28" s="24"/>
      <c r="O28" s="38" t="s">
        <v>47</v>
      </c>
      <c r="P28" s="38"/>
      <c r="Q28" s="38"/>
      <c r="R28" s="38"/>
      <c r="S28" s="38"/>
      <c r="T28" s="38"/>
      <c r="U28" s="38"/>
      <c r="V28" s="39" t="n">
        <f aca="false">Ayarlar!$B$6</f>
        <v>7.5</v>
      </c>
      <c r="W28" s="39"/>
      <c r="X28" s="39"/>
      <c r="Y28" s="39"/>
      <c r="Z28" s="24"/>
    </row>
    <row r="29" customFormat="false" ht="15" hidden="false" customHeight="true" outlineLevel="0" collapsed="false">
      <c r="A29" s="24"/>
      <c r="B29" s="24"/>
      <c r="C29" s="24"/>
      <c r="D29" s="24"/>
      <c r="E29" s="24"/>
      <c r="F29" s="24"/>
      <c r="G29" s="24"/>
      <c r="H29" s="24"/>
      <c r="I29" s="24"/>
      <c r="J29" s="24"/>
      <c r="K29" s="24"/>
      <c r="L29" s="24"/>
      <c r="M29" s="24"/>
      <c r="N29" s="24"/>
      <c r="O29" s="38" t="s">
        <v>48</v>
      </c>
      <c r="P29" s="38"/>
      <c r="Q29" s="38"/>
      <c r="R29" s="38"/>
      <c r="S29" s="38"/>
      <c r="T29" s="38"/>
      <c r="U29" s="38"/>
      <c r="V29" s="40" t="n">
        <f aca="false">Ayarlar!$B$8</f>
        <v>30</v>
      </c>
      <c r="W29" s="40"/>
      <c r="X29" s="40"/>
      <c r="Y29" s="40"/>
      <c r="Z29" s="24"/>
    </row>
    <row r="30" customFormat="false" ht="15" hidden="false" customHeight="true" outlineLevel="0" collapsed="false">
      <c r="A30" s="24"/>
      <c r="B30" s="24"/>
      <c r="C30" s="24"/>
      <c r="D30" s="24"/>
      <c r="E30" s="24"/>
      <c r="F30" s="24"/>
      <c r="G30" s="24"/>
      <c r="H30" s="24"/>
      <c r="I30" s="24"/>
      <c r="J30" s="24"/>
      <c r="K30" s="24"/>
      <c r="L30" s="24"/>
      <c r="M30" s="24"/>
      <c r="N30" s="24"/>
      <c r="O30" s="38" t="s">
        <v>49</v>
      </c>
      <c r="P30" s="38"/>
      <c r="Q30" s="38"/>
      <c r="R30" s="38"/>
      <c r="S30" s="38"/>
      <c r="T30" s="38"/>
      <c r="U30" s="38"/>
      <c r="V30" s="40" t="n">
        <f aca="false">Ayarlar!$B$9</f>
        <v>270</v>
      </c>
      <c r="W30" s="40"/>
      <c r="X30" s="40"/>
      <c r="Y30" s="40"/>
      <c r="Z30" s="24"/>
    </row>
    <row r="31" customFormat="false" ht="15" hidden="false" customHeight="true" outlineLevel="0" collapsed="false">
      <c r="A31" s="24"/>
      <c r="B31" s="24"/>
      <c r="C31" s="24"/>
      <c r="D31" s="24"/>
      <c r="E31" s="24"/>
      <c r="F31" s="24"/>
      <c r="G31" s="24"/>
      <c r="H31" s="24"/>
      <c r="I31" s="24"/>
      <c r="J31" s="24"/>
      <c r="K31" s="24"/>
      <c r="L31" s="24"/>
      <c r="M31" s="24"/>
      <c r="N31" s="24"/>
      <c r="O31" s="38" t="s">
        <v>50</v>
      </c>
      <c r="P31" s="38"/>
      <c r="Q31" s="38"/>
      <c r="R31" s="38"/>
      <c r="S31" s="38"/>
      <c r="T31" s="38"/>
      <c r="U31" s="38"/>
      <c r="V31" s="41" t="n">
        <f aca="false">Puantaj!$AJ$41</f>
        <v>5772.5</v>
      </c>
      <c r="W31" s="41"/>
      <c r="X31" s="41"/>
      <c r="Y31" s="41"/>
      <c r="Z31" s="24"/>
    </row>
    <row r="32" customFormat="false" ht="15" hidden="false" customHeight="true" outlineLevel="0" collapsed="false">
      <c r="A32" s="24"/>
      <c r="B32" s="24"/>
      <c r="C32" s="24"/>
      <c r="D32" s="24"/>
      <c r="E32" s="24"/>
      <c r="F32" s="24"/>
      <c r="G32" s="24"/>
      <c r="H32" s="24"/>
      <c r="I32" s="24"/>
      <c r="J32" s="24"/>
      <c r="K32" s="24"/>
      <c r="L32" s="24"/>
      <c r="M32" s="24"/>
      <c r="N32" s="24"/>
      <c r="O32" s="38" t="s">
        <v>51</v>
      </c>
      <c r="P32" s="38"/>
      <c r="Q32" s="38"/>
      <c r="R32" s="38"/>
      <c r="S32" s="38"/>
      <c r="T32" s="38"/>
      <c r="U32" s="38"/>
      <c r="V32" s="41" t="n">
        <f aca="false">Puantaj!$AI$41</f>
        <v>707</v>
      </c>
      <c r="W32" s="41"/>
      <c r="X32" s="41"/>
      <c r="Y32" s="41"/>
      <c r="Z32" s="24"/>
    </row>
    <row r="33" customFormat="false" ht="15" hidden="false" customHeight="true" outlineLevel="0" collapsed="false">
      <c r="A33" s="24"/>
      <c r="B33" s="24"/>
      <c r="C33" s="24"/>
      <c r="D33" s="24"/>
      <c r="E33" s="24"/>
      <c r="F33" s="24"/>
      <c r="G33" s="24"/>
      <c r="H33" s="24"/>
      <c r="I33" s="24"/>
      <c r="J33" s="24"/>
      <c r="K33" s="24"/>
      <c r="L33" s="24"/>
      <c r="M33" s="24"/>
      <c r="N33" s="24"/>
      <c r="O33" s="38" t="s">
        <v>52</v>
      </c>
      <c r="P33" s="38"/>
      <c r="Q33" s="38"/>
      <c r="R33" s="38"/>
      <c r="S33" s="38"/>
      <c r="T33" s="38"/>
      <c r="U33" s="38"/>
      <c r="V33" s="41" t="n">
        <f aca="false">Puantaj!$AQ$41</f>
        <v>900</v>
      </c>
      <c r="W33" s="41"/>
      <c r="X33" s="41"/>
      <c r="Y33" s="41"/>
      <c r="Z33" s="24"/>
    </row>
    <row r="34" customFormat="false" ht="15" hidden="false" customHeight="true" outlineLevel="0" collapsed="false">
      <c r="A34" s="24"/>
      <c r="B34" s="24"/>
      <c r="C34" s="24"/>
      <c r="D34" s="24"/>
      <c r="E34" s="24"/>
      <c r="F34" s="24"/>
      <c r="G34" s="24"/>
      <c r="H34" s="24"/>
      <c r="I34" s="24"/>
      <c r="J34" s="24"/>
      <c r="K34" s="24"/>
      <c r="L34" s="24"/>
      <c r="M34" s="24"/>
      <c r="N34" s="24"/>
      <c r="O34" s="38" t="s">
        <v>53</v>
      </c>
      <c r="P34" s="38"/>
      <c r="Q34" s="38"/>
      <c r="R34" s="38"/>
      <c r="S34" s="38"/>
      <c r="T34" s="38"/>
      <c r="U34" s="38"/>
      <c r="V34" s="40" t="n">
        <f aca="false">Puantaj!$AL$41</f>
        <v>164</v>
      </c>
      <c r="W34" s="40"/>
      <c r="X34" s="40"/>
      <c r="Y34" s="40"/>
      <c r="Z34" s="24"/>
    </row>
    <row r="35" customFormat="false" ht="15" hidden="false" customHeight="true" outlineLevel="0" collapsed="false">
      <c r="A35" s="24"/>
      <c r="B35" s="24"/>
      <c r="C35" s="24"/>
      <c r="D35" s="24"/>
      <c r="E35" s="24"/>
      <c r="F35" s="24"/>
      <c r="G35" s="24"/>
      <c r="H35" s="24"/>
      <c r="I35" s="24"/>
      <c r="J35" s="24"/>
      <c r="K35" s="24"/>
      <c r="L35" s="24"/>
      <c r="M35" s="24"/>
      <c r="N35" s="24"/>
      <c r="O35" s="38" t="s">
        <v>54</v>
      </c>
      <c r="P35" s="38"/>
      <c r="Q35" s="38"/>
      <c r="R35" s="38"/>
      <c r="S35" s="38"/>
      <c r="T35" s="38"/>
      <c r="U35" s="38"/>
      <c r="V35" s="40" t="n">
        <f aca="false">Puantaj!$AN$41</f>
        <v>6</v>
      </c>
      <c r="W35" s="40"/>
      <c r="X35" s="40"/>
      <c r="Y35" s="40"/>
      <c r="Z35" s="24"/>
    </row>
    <row r="36" customFormat="false" ht="15" hidden="false" customHeight="true" outlineLevel="0" collapsed="false">
      <c r="A36" s="24"/>
      <c r="B36" s="24"/>
      <c r="C36" s="24"/>
      <c r="D36" s="24"/>
      <c r="E36" s="24"/>
      <c r="F36" s="24"/>
      <c r="G36" s="24"/>
      <c r="H36" s="24"/>
      <c r="I36" s="24"/>
      <c r="J36" s="24"/>
      <c r="K36" s="24"/>
      <c r="L36" s="24"/>
      <c r="M36" s="24"/>
      <c r="N36" s="24"/>
      <c r="O36" s="38" t="s">
        <v>55</v>
      </c>
      <c r="P36" s="38"/>
      <c r="Q36" s="38"/>
      <c r="R36" s="38"/>
      <c r="S36" s="38"/>
      <c r="T36" s="38"/>
      <c r="U36" s="38"/>
      <c r="V36" s="40" t="n">
        <f aca="false">Puantaj!$AM$41</f>
        <v>16</v>
      </c>
      <c r="W36" s="40"/>
      <c r="X36" s="40"/>
      <c r="Y36" s="40"/>
      <c r="Z36" s="24"/>
    </row>
    <row r="37" customFormat="false" ht="15" hidden="false" customHeight="true" outlineLevel="0" collapsed="false">
      <c r="A37" s="24"/>
      <c r="B37" s="24"/>
      <c r="C37" s="24"/>
      <c r="D37" s="24"/>
      <c r="E37" s="24"/>
      <c r="F37" s="24"/>
      <c r="G37" s="24"/>
      <c r="H37" s="24"/>
      <c r="I37" s="24"/>
      <c r="J37" s="24"/>
      <c r="K37" s="24"/>
      <c r="L37" s="24"/>
      <c r="M37" s="24"/>
      <c r="N37" s="24"/>
      <c r="O37" s="38" t="s">
        <v>56</v>
      </c>
      <c r="P37" s="38"/>
      <c r="Q37" s="38"/>
      <c r="R37" s="38"/>
      <c r="S37" s="38"/>
      <c r="T37" s="38"/>
      <c r="U37" s="38"/>
      <c r="V37" s="40" t="n">
        <f aca="false">Puantaj!$AP$41</f>
        <v>5</v>
      </c>
      <c r="W37" s="40"/>
      <c r="X37" s="40"/>
      <c r="Y37" s="40"/>
      <c r="Z37" s="24"/>
    </row>
    <row r="38" customFormat="false" ht="15" hidden="false" customHeight="true" outlineLevel="0" collapsed="false">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row>
    <row r="39" customFormat="false" ht="15" hidden="false" customHeight="true" outlineLevel="0" collapsed="false">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row>
    <row r="40" customFormat="false" ht="15" hidden="false" customHeight="true" outlineLevel="0" collapsed="false">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row>
    <row r="41" customFormat="false" ht="15" hidden="false" customHeight="true" outlineLevel="0" collapsed="false">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row>
    <row r="42" customFormat="false" ht="19.5" hidden="false" customHeight="true" outlineLevel="0" collapsed="false">
      <c r="A42" s="24"/>
      <c r="B42" s="24"/>
      <c r="C42" s="24"/>
      <c r="D42" s="24"/>
      <c r="E42" s="24"/>
      <c r="F42" s="24"/>
      <c r="G42" s="24"/>
      <c r="H42" s="24"/>
      <c r="I42" s="24"/>
      <c r="J42" s="24"/>
      <c r="K42" s="24"/>
      <c r="L42" s="24"/>
      <c r="M42" s="24"/>
      <c r="N42" s="24"/>
      <c r="O42" s="36" t="s">
        <v>57</v>
      </c>
      <c r="P42" s="36"/>
      <c r="Q42" s="36"/>
      <c r="R42" s="36"/>
      <c r="S42" s="36"/>
      <c r="T42" s="36"/>
      <c r="U42" s="36"/>
      <c r="V42" s="36"/>
      <c r="W42" s="36"/>
      <c r="X42" s="36"/>
      <c r="Y42" s="36"/>
      <c r="Z42" s="24"/>
    </row>
    <row r="43" customFormat="false" ht="21.75" hidden="false" customHeight="true" outlineLevel="0" collapsed="false">
      <c r="A43" s="24"/>
      <c r="B43" s="24"/>
      <c r="C43" s="24"/>
      <c r="D43" s="24"/>
      <c r="E43" s="24"/>
      <c r="F43" s="24"/>
      <c r="G43" s="24"/>
      <c r="H43" s="24"/>
      <c r="I43" s="24"/>
      <c r="J43" s="24"/>
      <c r="K43" s="24"/>
      <c r="L43" s="24"/>
      <c r="M43" s="24"/>
      <c r="N43" s="24"/>
      <c r="O43" s="37" t="s">
        <v>58</v>
      </c>
      <c r="P43" s="37"/>
      <c r="Q43" s="37"/>
      <c r="R43" s="37"/>
      <c r="S43" s="37" t="s">
        <v>59</v>
      </c>
      <c r="T43" s="37"/>
      <c r="U43" s="37" t="s">
        <v>60</v>
      </c>
      <c r="V43" s="37"/>
      <c r="W43" s="37" t="s">
        <v>61</v>
      </c>
      <c r="X43" s="37"/>
      <c r="Y43" s="37"/>
      <c r="Z43" s="24"/>
    </row>
    <row r="44" customFormat="false" ht="15" hidden="false" customHeight="true" outlineLevel="0" collapsed="false">
      <c r="A44" s="24"/>
      <c r="B44" s="24"/>
      <c r="C44" s="24"/>
      <c r="D44" s="24"/>
      <c r="E44" s="24"/>
      <c r="F44" s="24"/>
      <c r="G44" s="24"/>
      <c r="H44" s="24"/>
      <c r="I44" s="24"/>
      <c r="J44" s="24"/>
      <c r="K44" s="24"/>
      <c r="L44" s="24"/>
      <c r="M44" s="24"/>
      <c r="N44" s="24"/>
      <c r="O44" s="38" t="str">
        <f aca="false">IFERROR(INDEX(Puantaj!$B11:$B40,MATCH(1,Hesap!S$2:S$31,0)),"")</f>
        <v>Ayşe Demir</v>
      </c>
      <c r="P44" s="38"/>
      <c r="Q44" s="38"/>
      <c r="R44" s="38"/>
      <c r="S44" s="42" t="n">
        <f aca="false">IFERROR(INDEX(Puantaj!$AK11:$AK40,MATCH(1,Hesap!S$2:S$31,0)),"")</f>
        <v>4</v>
      </c>
      <c r="T44" s="42"/>
      <c r="U44" s="43" t="n">
        <f aca="false">IFERROR(INDEX(Puantaj!$AP11:$AP40,MATCH(1,Hesap!S$2:S$31,0)),"")</f>
        <v>1</v>
      </c>
      <c r="V44" s="43"/>
      <c r="W44" s="44" t="str">
        <f aca="false">IFERROR(INDEX(Puantaj!$AR11:$AR40,MATCH(1,Hesap!S$2:S$31,0)),"")</f>
        <v>Devamsız</v>
      </c>
      <c r="X44" s="44"/>
      <c r="Y44" s="44"/>
      <c r="Z44" s="24"/>
    </row>
    <row r="45" customFormat="false" ht="15" hidden="false" customHeight="true" outlineLevel="0" collapsed="false">
      <c r="A45" s="24"/>
      <c r="B45" s="24"/>
      <c r="C45" s="24"/>
      <c r="D45" s="24"/>
      <c r="E45" s="24"/>
      <c r="F45" s="24"/>
      <c r="G45" s="24"/>
      <c r="H45" s="24"/>
      <c r="I45" s="24"/>
      <c r="J45" s="24"/>
      <c r="K45" s="24"/>
      <c r="L45" s="24"/>
      <c r="M45" s="24"/>
      <c r="N45" s="24"/>
      <c r="O45" s="38" t="str">
        <f aca="false">IFERROR(INDEX(Puantaj!$B11:$B40,MATCH(2,Hesap!S$2:S$31,0)),"")</f>
        <v>Burak Çelik</v>
      </c>
      <c r="P45" s="38"/>
      <c r="Q45" s="38"/>
      <c r="R45" s="38"/>
      <c r="S45" s="42" t="n">
        <f aca="false">IFERROR(INDEX(Puantaj!$AK11:$AK40,MATCH(2,Hesap!S$2:S$31,0)),"")</f>
        <v>14</v>
      </c>
      <c r="T45" s="42"/>
      <c r="U45" s="43" t="n">
        <f aca="false">IFERROR(INDEX(Puantaj!$AP11:$AP40,MATCH(2,Hesap!S$2:S$31,0)),"")</f>
        <v>1</v>
      </c>
      <c r="V45" s="43"/>
      <c r="W45" s="44" t="str">
        <f aca="false">IFERROR(INDEX(Puantaj!$AR11:$AR40,MATCH(2,Hesap!S$2:S$31,0)),"")</f>
        <v>Devamsız</v>
      </c>
      <c r="X45" s="44"/>
      <c r="Y45" s="44"/>
      <c r="Z45" s="24"/>
    </row>
    <row r="46" customFormat="false" ht="15" hidden="false" customHeight="true" outlineLevel="0" collapsed="false">
      <c r="A46" s="24"/>
      <c r="B46" s="24"/>
      <c r="C46" s="24"/>
      <c r="D46" s="24"/>
      <c r="E46" s="24"/>
      <c r="F46" s="24"/>
      <c r="G46" s="24"/>
      <c r="H46" s="24"/>
      <c r="I46" s="24"/>
      <c r="J46" s="24"/>
      <c r="K46" s="24"/>
      <c r="L46" s="24"/>
      <c r="M46" s="24"/>
      <c r="N46" s="24"/>
      <c r="O46" s="38" t="str">
        <f aca="false">IFERROR(INDEX(Puantaj!$B11:$B40,MATCH(3,Hesap!S$2:S$31,0)),"")</f>
        <v>Gamze Polat</v>
      </c>
      <c r="P46" s="38"/>
      <c r="Q46" s="38"/>
      <c r="R46" s="38"/>
      <c r="S46" s="42" t="n">
        <f aca="false">IFERROR(INDEX(Puantaj!$AK11:$AK40,MATCH(3,Hesap!S$2:S$31,0)),"")</f>
        <v>21</v>
      </c>
      <c r="T46" s="42"/>
      <c r="U46" s="43" t="n">
        <f aca="false">IFERROR(INDEX(Puantaj!$AP11:$AP40,MATCH(3,Hesap!S$2:S$31,0)),"")</f>
        <v>1</v>
      </c>
      <c r="V46" s="43"/>
      <c r="W46" s="44" t="str">
        <f aca="false">IFERROR(INDEX(Puantaj!$AR11:$AR40,MATCH(3,Hesap!S$2:S$31,0)),"")</f>
        <v>Devamsız</v>
      </c>
      <c r="X46" s="44"/>
      <c r="Y46" s="44"/>
      <c r="Z46" s="24"/>
    </row>
    <row r="47" customFormat="false" ht="15" hidden="false" customHeight="true" outlineLevel="0" collapsed="false">
      <c r="A47" s="24"/>
      <c r="B47" s="24"/>
      <c r="C47" s="24"/>
      <c r="D47" s="24"/>
      <c r="E47" s="24"/>
      <c r="F47" s="24"/>
      <c r="G47" s="24"/>
      <c r="H47" s="24"/>
      <c r="I47" s="24"/>
      <c r="J47" s="24"/>
      <c r="K47" s="24"/>
      <c r="L47" s="24"/>
      <c r="M47" s="24"/>
      <c r="N47" s="24"/>
      <c r="O47" s="38" t="str">
        <f aca="false">IFERROR(INDEX(Puantaj!$B11:$B40,MATCH(4,Hesap!S$2:S$31,0)),"")</f>
        <v>Pınar Tekin</v>
      </c>
      <c r="P47" s="38"/>
      <c r="Q47" s="38"/>
      <c r="R47" s="38"/>
      <c r="S47" s="42" t="n">
        <f aca="false">IFERROR(INDEX(Puantaj!$AK11:$AK40,MATCH(4,Hesap!S$2:S$31,0)),"")</f>
        <v>16</v>
      </c>
      <c r="T47" s="42"/>
      <c r="U47" s="43" t="n">
        <f aca="false">IFERROR(INDEX(Puantaj!$AP11:$AP40,MATCH(4,Hesap!S$2:S$31,0)),"")</f>
        <v>1</v>
      </c>
      <c r="V47" s="43"/>
      <c r="W47" s="44" t="str">
        <f aca="false">IFERROR(INDEX(Puantaj!$AR11:$AR40,MATCH(4,Hesap!S$2:S$31,0)),"")</f>
        <v>Devamsız</v>
      </c>
      <c r="X47" s="44"/>
      <c r="Y47" s="44"/>
      <c r="Z47" s="24"/>
    </row>
    <row r="48" customFormat="false" ht="15" hidden="false" customHeight="true" outlineLevel="0" collapsed="false">
      <c r="A48" s="24"/>
      <c r="B48" s="24"/>
      <c r="C48" s="24"/>
      <c r="D48" s="24"/>
      <c r="E48" s="24"/>
      <c r="F48" s="24"/>
      <c r="G48" s="24"/>
      <c r="H48" s="24"/>
      <c r="I48" s="24"/>
      <c r="J48" s="24"/>
      <c r="K48" s="24"/>
      <c r="L48" s="24"/>
      <c r="M48" s="24"/>
      <c r="N48" s="24"/>
      <c r="O48" s="38" t="str">
        <f aca="false">IFERROR(INDEX(Puantaj!$B11:$B40,MATCH(5,Hesap!S$2:S$31,0)),"")</f>
        <v>Fatma Ak</v>
      </c>
      <c r="P48" s="38"/>
      <c r="Q48" s="38"/>
      <c r="R48" s="38"/>
      <c r="S48" s="42" t="n">
        <f aca="false">IFERROR(INDEX(Puantaj!$AK11:$AK40,MATCH(5,Hesap!S$2:S$31,0)),"")</f>
        <v>14</v>
      </c>
      <c r="T48" s="42"/>
      <c r="U48" s="43" t="n">
        <f aca="false">IFERROR(INDEX(Puantaj!$AP11:$AP40,MATCH(5,Hesap!S$2:S$31,0)),"")</f>
        <v>1</v>
      </c>
      <c r="V48" s="43"/>
      <c r="W48" s="44" t="str">
        <f aca="false">IFERROR(INDEX(Puantaj!$AR11:$AR40,MATCH(5,Hesap!S$2:S$31,0)),"")</f>
        <v>Devamsız</v>
      </c>
      <c r="X48" s="44"/>
      <c r="Y48" s="44"/>
      <c r="Z48" s="24"/>
    </row>
    <row r="49" customFormat="false" ht="15" hidden="false" customHeight="true" outlineLevel="0" collapsed="false">
      <c r="A49" s="24"/>
      <c r="B49" s="24"/>
      <c r="C49" s="24"/>
      <c r="D49" s="24"/>
      <c r="E49" s="24"/>
      <c r="F49" s="24"/>
      <c r="G49" s="24"/>
      <c r="H49" s="24"/>
      <c r="I49" s="24"/>
      <c r="J49" s="24"/>
      <c r="K49" s="24"/>
      <c r="L49" s="24"/>
      <c r="M49" s="24"/>
      <c r="N49" s="24"/>
      <c r="O49" s="38" t="str">
        <f aca="false">IFERROR(INDEX(Puantaj!$B11:$B40,MATCH(6,Hesap!S$2:S$31,0)),"")</f>
        <v/>
      </c>
      <c r="P49" s="38"/>
      <c r="Q49" s="38"/>
      <c r="R49" s="38"/>
      <c r="S49" s="42" t="str">
        <f aca="false">IFERROR(INDEX(Puantaj!$AK11:$AK40,MATCH(6,Hesap!S$2:S$31,0)),"")</f>
        <v/>
      </c>
      <c r="T49" s="42"/>
      <c r="U49" s="43" t="str">
        <f aca="false">IFERROR(INDEX(Puantaj!$AP11:$AP40,MATCH(6,Hesap!S$2:S$31,0)),"")</f>
        <v/>
      </c>
      <c r="V49" s="43"/>
      <c r="W49" s="44" t="str">
        <f aca="false">IFERROR(INDEX(Puantaj!$AR11:$AR40,MATCH(6,Hesap!S$2:S$31,0)),"")</f>
        <v/>
      </c>
      <c r="X49" s="44"/>
      <c r="Y49" s="44"/>
      <c r="Z49" s="24"/>
    </row>
    <row r="50" customFormat="false" ht="15" hidden="false" customHeight="true" outlineLevel="0" collapsed="false">
      <c r="A50" s="24"/>
      <c r="B50" s="24"/>
      <c r="C50" s="24"/>
      <c r="D50" s="24"/>
      <c r="E50" s="24"/>
      <c r="F50" s="24"/>
      <c r="G50" s="24"/>
      <c r="H50" s="24"/>
      <c r="I50" s="24"/>
      <c r="J50" s="24"/>
      <c r="K50" s="24"/>
      <c r="L50" s="24"/>
      <c r="M50" s="24"/>
      <c r="N50" s="24"/>
      <c r="O50" s="38" t="str">
        <f aca="false">IFERROR(INDEX(Puantaj!$B11:$B40,MATCH(7,Hesap!S$2:S$31,0)),"")</f>
        <v/>
      </c>
      <c r="P50" s="38"/>
      <c r="Q50" s="38"/>
      <c r="R50" s="38"/>
      <c r="S50" s="42" t="str">
        <f aca="false">IFERROR(INDEX(Puantaj!$AK11:$AK40,MATCH(7,Hesap!S$2:S$31,0)),"")</f>
        <v/>
      </c>
      <c r="T50" s="42"/>
      <c r="U50" s="43" t="str">
        <f aca="false">IFERROR(INDEX(Puantaj!$AP11:$AP40,MATCH(7,Hesap!S$2:S$31,0)),"")</f>
        <v/>
      </c>
      <c r="V50" s="43"/>
      <c r="W50" s="44" t="str">
        <f aca="false">IFERROR(INDEX(Puantaj!$AR11:$AR40,MATCH(7,Hesap!S$2:S$31,0)),"")</f>
        <v/>
      </c>
      <c r="X50" s="44"/>
      <c r="Y50" s="44"/>
      <c r="Z50" s="24"/>
    </row>
    <row r="51" customFormat="false" ht="15" hidden="false" customHeight="true" outlineLevel="0" collapsed="false">
      <c r="A51" s="24"/>
      <c r="B51" s="24"/>
      <c r="C51" s="24"/>
      <c r="D51" s="24"/>
      <c r="E51" s="24"/>
      <c r="F51" s="24"/>
      <c r="G51" s="24"/>
      <c r="H51" s="24"/>
      <c r="I51" s="24"/>
      <c r="J51" s="24"/>
      <c r="K51" s="24"/>
      <c r="L51" s="24"/>
      <c r="M51" s="24"/>
      <c r="N51" s="24"/>
      <c r="O51" s="38" t="str">
        <f aca="false">IFERROR(INDEX(Puantaj!$B11:$B40,MATCH(8,Hesap!S$2:S$31,0)),"")</f>
        <v/>
      </c>
      <c r="P51" s="38"/>
      <c r="Q51" s="38"/>
      <c r="R51" s="38"/>
      <c r="S51" s="42" t="str">
        <f aca="false">IFERROR(INDEX(Puantaj!$AK11:$AK40,MATCH(8,Hesap!S$2:S$31,0)),"")</f>
        <v/>
      </c>
      <c r="T51" s="42"/>
      <c r="U51" s="43" t="str">
        <f aca="false">IFERROR(INDEX(Puantaj!$AP11:$AP40,MATCH(8,Hesap!S$2:S$31,0)),"")</f>
        <v/>
      </c>
      <c r="V51" s="43"/>
      <c r="W51" s="44" t="str">
        <f aca="false">IFERROR(INDEX(Puantaj!$AR11:$AR40,MATCH(8,Hesap!S$2:S$31,0)),"")</f>
        <v/>
      </c>
      <c r="X51" s="44"/>
      <c r="Y51" s="44"/>
      <c r="Z51" s="24"/>
    </row>
    <row r="52" customFormat="false" ht="15" hidden="false" customHeight="true" outlineLevel="0" collapsed="false">
      <c r="A52" s="24"/>
      <c r="B52" s="24"/>
      <c r="C52" s="24"/>
      <c r="D52" s="24"/>
      <c r="E52" s="24"/>
      <c r="F52" s="24"/>
      <c r="G52" s="24"/>
      <c r="H52" s="24"/>
      <c r="I52" s="24"/>
      <c r="J52" s="24"/>
      <c r="K52" s="24"/>
      <c r="L52" s="24"/>
      <c r="M52" s="24"/>
      <c r="N52" s="24"/>
      <c r="O52" s="38" t="str">
        <f aca="false">IFERROR(INDEX(Puantaj!$B11:$B40,MATCH(9,Hesap!S$2:S$31,0)),"")</f>
        <v/>
      </c>
      <c r="P52" s="38"/>
      <c r="Q52" s="38"/>
      <c r="R52" s="38"/>
      <c r="S52" s="42" t="str">
        <f aca="false">IFERROR(INDEX(Puantaj!$AK11:$AK40,MATCH(9,Hesap!S$2:S$31,0)),"")</f>
        <v/>
      </c>
      <c r="T52" s="42"/>
      <c r="U52" s="43" t="str">
        <f aca="false">IFERROR(INDEX(Puantaj!$AP11:$AP40,MATCH(9,Hesap!S$2:S$31,0)),"")</f>
        <v/>
      </c>
      <c r="V52" s="43"/>
      <c r="W52" s="44" t="str">
        <f aca="false">IFERROR(INDEX(Puantaj!$AR11:$AR40,MATCH(9,Hesap!S$2:S$31,0)),"")</f>
        <v/>
      </c>
      <c r="X52" s="44"/>
      <c r="Y52" s="44"/>
      <c r="Z52" s="24"/>
    </row>
    <row r="53" customFormat="false" ht="15" hidden="false" customHeight="true" outlineLevel="0" collapsed="false">
      <c r="A53" s="24"/>
      <c r="B53" s="24"/>
      <c r="C53" s="24"/>
      <c r="D53" s="24"/>
      <c r="E53" s="24"/>
      <c r="F53" s="24"/>
      <c r="G53" s="24"/>
      <c r="H53" s="24"/>
      <c r="I53" s="24"/>
      <c r="J53" s="24"/>
      <c r="K53" s="24"/>
      <c r="L53" s="24"/>
      <c r="M53" s="24"/>
      <c r="N53" s="24"/>
      <c r="O53" s="38" t="str">
        <f aca="false">IFERROR(INDEX(Puantaj!$B11:$B40,MATCH(10,Hesap!S$2:S$31,0)),"")</f>
        <v/>
      </c>
      <c r="P53" s="38"/>
      <c r="Q53" s="38"/>
      <c r="R53" s="38"/>
      <c r="S53" s="42" t="str">
        <f aca="false">IFERROR(INDEX(Puantaj!$AK11:$AK40,MATCH(10,Hesap!S$2:S$31,0)),"")</f>
        <v/>
      </c>
      <c r="T53" s="42"/>
      <c r="U53" s="43" t="str">
        <f aca="false">IFERROR(INDEX(Puantaj!$AP11:$AP40,MATCH(10,Hesap!S$2:S$31,0)),"")</f>
        <v/>
      </c>
      <c r="V53" s="43"/>
      <c r="W53" s="44" t="str">
        <f aca="false">IFERROR(INDEX(Puantaj!$AR11:$AR40,MATCH(10,Hesap!S$2:S$31,0)),"")</f>
        <v/>
      </c>
      <c r="X53" s="44"/>
      <c r="Y53" s="44"/>
      <c r="Z53" s="24"/>
    </row>
    <row r="54" customFormat="false" ht="15" hidden="false" customHeight="true" outlineLevel="0" collapsed="false">
      <c r="A54" s="24"/>
      <c r="B54" s="24"/>
      <c r="C54" s="24"/>
      <c r="D54" s="24"/>
      <c r="E54" s="24"/>
      <c r="F54" s="24"/>
      <c r="G54" s="24"/>
      <c r="H54" s="24"/>
      <c r="I54" s="24"/>
      <c r="J54" s="24"/>
      <c r="K54" s="24"/>
      <c r="L54" s="24"/>
      <c r="M54" s="24"/>
      <c r="N54" s="24"/>
      <c r="O54" s="45" t="s">
        <v>62</v>
      </c>
      <c r="P54" s="45"/>
      <c r="Q54" s="45"/>
      <c r="R54" s="45"/>
      <c r="S54" s="45"/>
      <c r="T54" s="45"/>
      <c r="U54" s="45"/>
      <c r="V54" s="45"/>
      <c r="W54" s="45"/>
      <c r="X54" s="45"/>
      <c r="Y54" s="45"/>
      <c r="Z54" s="24"/>
    </row>
    <row r="55" customFormat="false" ht="15" hidden="false" customHeight="true" outlineLevel="0" collapsed="false">
      <c r="A55" s="24"/>
      <c r="B55" s="24"/>
      <c r="C55" s="24"/>
      <c r="D55" s="24"/>
      <c r="E55" s="24"/>
      <c r="F55" s="24"/>
      <c r="G55" s="24"/>
      <c r="H55" s="24"/>
      <c r="I55" s="24"/>
      <c r="J55" s="24"/>
      <c r="K55" s="24"/>
      <c r="L55" s="24"/>
      <c r="M55" s="24"/>
      <c r="N55" s="24"/>
      <c r="O55" s="45"/>
      <c r="P55" s="45"/>
      <c r="Q55" s="45"/>
      <c r="R55" s="45"/>
      <c r="S55" s="45"/>
      <c r="T55" s="45"/>
      <c r="U55" s="45"/>
      <c r="V55" s="45"/>
      <c r="W55" s="45"/>
      <c r="X55" s="45"/>
      <c r="Y55" s="45"/>
      <c r="Z55" s="24"/>
    </row>
    <row r="56" customFormat="false" ht="15" hidden="false" customHeight="true" outlineLevel="0" collapsed="false">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customFormat="false" ht="15" hidden="false" customHeight="true" outlineLevel="0" collapsed="false">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customFormat="false" ht="15" hidden="false" customHeight="true" outlineLevel="0" collapsed="false">
      <c r="A58" s="46" t="s">
        <v>63</v>
      </c>
      <c r="B58" s="46"/>
      <c r="C58" s="46"/>
      <c r="D58" s="46"/>
      <c r="E58" s="46"/>
      <c r="F58" s="46"/>
      <c r="G58" s="46"/>
      <c r="H58" s="46"/>
      <c r="I58" s="46"/>
      <c r="J58" s="46"/>
      <c r="K58" s="46"/>
      <c r="L58" s="46"/>
      <c r="M58" s="46"/>
      <c r="N58" s="46"/>
      <c r="O58" s="46"/>
      <c r="P58" s="46"/>
      <c r="Q58" s="46"/>
      <c r="R58" s="46"/>
      <c r="S58" s="46"/>
      <c r="T58" s="46"/>
      <c r="U58" s="46"/>
      <c r="V58" s="46"/>
      <c r="W58" s="46"/>
      <c r="X58" s="46"/>
      <c r="Y58" s="46"/>
      <c r="Z58" s="24"/>
    </row>
    <row r="59" customFormat="false" ht="15" hidden="false" customHeight="true" outlineLevel="0" collapsed="false">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customFormat="false" ht="15" hidden="false" customHeight="true" outlineLevel="0" collapsed="false">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sheetData>
  <sheetProtection sheet="true" formatCells="false" formatColumns="false" formatRows="false" insertRows="false" deleteRows="false" sort="false" autoFilter="false"/>
  <mergeCells count="97">
    <mergeCell ref="A1:T1"/>
    <mergeCell ref="U1:Y1"/>
    <mergeCell ref="A2:R2"/>
    <mergeCell ref="S2:Y2"/>
    <mergeCell ref="B3:C3"/>
    <mergeCell ref="D3:E3"/>
    <mergeCell ref="F3:G3"/>
    <mergeCell ref="H3:I3"/>
    <mergeCell ref="S4:Y4"/>
    <mergeCell ref="B5:E5"/>
    <mergeCell ref="F5:I5"/>
    <mergeCell ref="J5:M5"/>
    <mergeCell ref="O5:R5"/>
    <mergeCell ref="S5:V5"/>
    <mergeCell ref="W5:Y5"/>
    <mergeCell ref="B6:E7"/>
    <mergeCell ref="F6:I7"/>
    <mergeCell ref="J6:M7"/>
    <mergeCell ref="O6:R7"/>
    <mergeCell ref="S6:V7"/>
    <mergeCell ref="W6:Y7"/>
    <mergeCell ref="B8:E8"/>
    <mergeCell ref="F8:I8"/>
    <mergeCell ref="J8:M8"/>
    <mergeCell ref="O8:R8"/>
    <mergeCell ref="S8:V8"/>
    <mergeCell ref="W8:Y8"/>
    <mergeCell ref="O26:Y26"/>
    <mergeCell ref="O27:U27"/>
    <mergeCell ref="V27:Y27"/>
    <mergeCell ref="O28:U28"/>
    <mergeCell ref="V28:Y28"/>
    <mergeCell ref="O29:U29"/>
    <mergeCell ref="V29:Y29"/>
    <mergeCell ref="O30:U30"/>
    <mergeCell ref="V30:Y30"/>
    <mergeCell ref="O31:U31"/>
    <mergeCell ref="V31:Y31"/>
    <mergeCell ref="O32:U32"/>
    <mergeCell ref="V32:Y32"/>
    <mergeCell ref="O33:U33"/>
    <mergeCell ref="V33:Y33"/>
    <mergeCell ref="O34:U34"/>
    <mergeCell ref="V34:Y34"/>
    <mergeCell ref="O35:U35"/>
    <mergeCell ref="V35:Y35"/>
    <mergeCell ref="O36:U36"/>
    <mergeCell ref="V36:Y36"/>
    <mergeCell ref="O37:U37"/>
    <mergeCell ref="V37:Y37"/>
    <mergeCell ref="O42:Y42"/>
    <mergeCell ref="O43:R43"/>
    <mergeCell ref="S43:T43"/>
    <mergeCell ref="U43:V43"/>
    <mergeCell ref="W43:Y43"/>
    <mergeCell ref="O44:R44"/>
    <mergeCell ref="S44:T44"/>
    <mergeCell ref="U44:V44"/>
    <mergeCell ref="W44:Y44"/>
    <mergeCell ref="O45:R45"/>
    <mergeCell ref="S45:T45"/>
    <mergeCell ref="U45:V45"/>
    <mergeCell ref="W45:Y45"/>
    <mergeCell ref="O46:R46"/>
    <mergeCell ref="S46:T46"/>
    <mergeCell ref="U46:V46"/>
    <mergeCell ref="W46:Y46"/>
    <mergeCell ref="O47:R47"/>
    <mergeCell ref="S47:T47"/>
    <mergeCell ref="U47:V47"/>
    <mergeCell ref="W47:Y47"/>
    <mergeCell ref="O48:R48"/>
    <mergeCell ref="S48:T48"/>
    <mergeCell ref="U48:V48"/>
    <mergeCell ref="W48:Y48"/>
    <mergeCell ref="O49:R49"/>
    <mergeCell ref="S49:T49"/>
    <mergeCell ref="U49:V49"/>
    <mergeCell ref="W49:Y49"/>
    <mergeCell ref="O50:R50"/>
    <mergeCell ref="S50:T50"/>
    <mergeCell ref="U50:V50"/>
    <mergeCell ref="W50:Y50"/>
    <mergeCell ref="O51:R51"/>
    <mergeCell ref="S51:T51"/>
    <mergeCell ref="U51:V51"/>
    <mergeCell ref="W51:Y51"/>
    <mergeCell ref="O52:R52"/>
    <mergeCell ref="S52:T52"/>
    <mergeCell ref="U52:V52"/>
    <mergeCell ref="W52:Y52"/>
    <mergeCell ref="O53:R53"/>
    <mergeCell ref="S53:T53"/>
    <mergeCell ref="U53:V53"/>
    <mergeCell ref="W53:Y53"/>
    <mergeCell ref="O54:Y55"/>
    <mergeCell ref="A58:Y58"/>
  </mergeCells>
  <conditionalFormatting sqref="J8">
    <cfRule type="expression" priority="2" aboveAverage="0" equalAverage="0" bottom="0" percent="0" rank="0" text="" dxfId="0">
      <formula>LEFT(J8,1)="▲"</formula>
    </cfRule>
    <cfRule type="expression" priority="3" aboveAverage="0" equalAverage="0" bottom="0" percent="0" rank="0" text="" dxfId="1">
      <formula>LEFT(J8,1)="▼"</formula>
    </cfRule>
  </conditionalFormatting>
  <conditionalFormatting sqref="W44:W53">
    <cfRule type="cellIs" priority="4" operator="equal" aboveAverage="0" equalAverage="0" bottom="0" percent="0" rank="0" text="" dxfId="2">
      <formula>"FM yüksek"</formula>
    </cfRule>
    <cfRule type="cellIs" priority="5" operator="equal" aboveAverage="0" equalAverage="0" bottom="0" percent="0" rank="0" text="" dxfId="3">
      <formula>"Devamsız"</formula>
    </cfRule>
    <cfRule type="cellIs" priority="6" operator="equal" aboveAverage="0" equalAverage="0" bottom="0" percent="0" rank="0" text="" dxfId="3">
      <formula>"HT eksik"</formula>
    </cfRule>
  </conditionalFormatting>
  <hyperlinks>
    <hyperlink ref="B3" location="'Dashboard'!A1" display="Dashboard"/>
    <hyperlink ref="D3" location="'Puantaj'!A1" display="·  Puantaj"/>
    <hyperlink ref="F3" location="'Ayarlar'!A1" display="·  Ayarlar"/>
    <hyperlink ref="H3" location="'Nasıl kullanılır'!A1" display="·  Nasıl kullanılır"/>
  </hyperlinks>
  <printOptions headings="false" gridLines="false" gridLinesSet="true" horizontalCentered="false" verticalCentered="false"/>
  <pageMargins left="0.4" right="0.4"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&amp;K64748bTAKMOS · takmoserp.com&amp;C&amp;8 &amp;K64748bÖrnek veriler kurgusaldır&amp;R&amp;8 &amp;K64748bSayfa &amp;P /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U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8"/>
    <col collapsed="false" customWidth="true" hidden="false" outlineLevel="0" max="3" min="3" style="0" width="13"/>
    <col collapsed="false" customWidth="true" hidden="false" outlineLevel="0" max="34" min="4" style="0" width="4.2"/>
    <col collapsed="false" customWidth="true" hidden="false" outlineLevel="0" max="43" min="35" style="0" width="9"/>
    <col collapsed="false" customWidth="true" hidden="false" outlineLevel="0" max="44" min="44" style="0" width="12"/>
    <col collapsed="false" customWidth="true" hidden="false" outlineLevel="0" max="46" min="46" style="0" width="3"/>
    <col collapsed="false" customWidth="true" hidden="false" outlineLevel="0" max="47" min="47" style="0" width="30"/>
  </cols>
  <sheetData>
    <row r="1" customFormat="false" ht="33.75" hidden="false" customHeight="true" outlineLevel="0" collapsed="false">
      <c r="A1" s="20" t="s">
        <v>64</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row>
    <row r="2" customFormat="false" ht="19.5" hidden="false" customHeight="true" outlineLevel="0" collapsed="false">
      <c r="A2" s="22" t="s">
        <v>65</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row>
    <row r="4" customFormat="false" ht="15" hidden="false" customHeight="false" outlineLevel="0" collapsed="false">
      <c r="A4" s="47" t="s">
        <v>66</v>
      </c>
      <c r="B4" s="48" t="str">
        <f aca="false">CHOOSE(MONTH(Ayarlar!$B$5),"Ocak","Şubat","Mart","Nisan","Mayıs","Haziran","Temmuz","Ağustos","Eylül","Ekim","Kasım","Aralık")&amp;" "&amp;YEAR(Ayarlar!$B$5)</f>
        <v>Ekim 2026</v>
      </c>
      <c r="C4" s="48"/>
      <c r="D4" s="49" t="s">
        <v>67</v>
      </c>
    </row>
    <row r="5" customFormat="false" ht="23.85" hidden="false" customHeight="false" outlineLevel="0" collapsed="false">
      <c r="A5" s="47" t="s">
        <v>68</v>
      </c>
      <c r="B5" s="50" t="n">
        <f aca="false">Ayarlar!$B$6</f>
        <v>7.5</v>
      </c>
      <c r="C5" s="50"/>
    </row>
    <row r="6" customFormat="false" ht="15" hidden="false" customHeight="false" outlineLevel="0" collapsed="false">
      <c r="A6" s="47" t="s">
        <v>69</v>
      </c>
      <c r="B6" s="51" t="str">
        <f aca="false">Ayarlar!$B$10</f>
        <v>Montaj</v>
      </c>
      <c r="C6" s="51"/>
    </row>
    <row r="7" customFormat="false" ht="15" hidden="false" customHeight="false" outlineLevel="0" collapsed="false">
      <c r="A7" s="52" t="s">
        <v>29</v>
      </c>
      <c r="B7" s="53" t="s">
        <v>30</v>
      </c>
      <c r="C7" s="52" t="s">
        <v>31</v>
      </c>
      <c r="D7" s="52" t="s">
        <v>32</v>
      </c>
    </row>
    <row r="8" customFormat="false" ht="15" hidden="false" customHeight="false" outlineLevel="0" collapsed="false">
      <c r="A8" s="54"/>
      <c r="B8" s="54"/>
      <c r="C8" s="54"/>
      <c r="D8" s="55" t="n">
        <f aca="false">IF(Ayarlar!$B$5+0&lt;=EOMONTH(Ayarlar!$B$5,0),Ayarlar!$B$5+0,"")</f>
        <v>46296</v>
      </c>
      <c r="E8" s="55" t="n">
        <f aca="false">IF(Ayarlar!$B$5+1&lt;=EOMONTH(Ayarlar!$B$5,0),Ayarlar!$B$5+1,"")</f>
        <v>46297</v>
      </c>
      <c r="F8" s="55" t="n">
        <f aca="false">IF(Ayarlar!$B$5+2&lt;=EOMONTH(Ayarlar!$B$5,0),Ayarlar!$B$5+2,"")</f>
        <v>46298</v>
      </c>
      <c r="G8" s="55" t="n">
        <f aca="false">IF(Ayarlar!$B$5+3&lt;=EOMONTH(Ayarlar!$B$5,0),Ayarlar!$B$5+3,"")</f>
        <v>46299</v>
      </c>
      <c r="H8" s="55" t="n">
        <f aca="false">IF(Ayarlar!$B$5+4&lt;=EOMONTH(Ayarlar!$B$5,0),Ayarlar!$B$5+4,"")</f>
        <v>46300</v>
      </c>
      <c r="I8" s="55" t="n">
        <f aca="false">IF(Ayarlar!$B$5+5&lt;=EOMONTH(Ayarlar!$B$5,0),Ayarlar!$B$5+5,"")</f>
        <v>46301</v>
      </c>
      <c r="J8" s="55" t="n">
        <f aca="false">IF(Ayarlar!$B$5+6&lt;=EOMONTH(Ayarlar!$B$5,0),Ayarlar!$B$5+6,"")</f>
        <v>46302</v>
      </c>
      <c r="K8" s="55" t="n">
        <f aca="false">IF(Ayarlar!$B$5+7&lt;=EOMONTH(Ayarlar!$B$5,0),Ayarlar!$B$5+7,"")</f>
        <v>46303</v>
      </c>
      <c r="L8" s="55" t="n">
        <f aca="false">IF(Ayarlar!$B$5+8&lt;=EOMONTH(Ayarlar!$B$5,0),Ayarlar!$B$5+8,"")</f>
        <v>46304</v>
      </c>
      <c r="M8" s="55" t="n">
        <f aca="false">IF(Ayarlar!$B$5+9&lt;=EOMONTH(Ayarlar!$B$5,0),Ayarlar!$B$5+9,"")</f>
        <v>46305</v>
      </c>
      <c r="N8" s="55" t="n">
        <f aca="false">IF(Ayarlar!$B$5+10&lt;=EOMONTH(Ayarlar!$B$5,0),Ayarlar!$B$5+10,"")</f>
        <v>46306</v>
      </c>
      <c r="O8" s="55" t="n">
        <f aca="false">IF(Ayarlar!$B$5+11&lt;=EOMONTH(Ayarlar!$B$5,0),Ayarlar!$B$5+11,"")</f>
        <v>46307</v>
      </c>
      <c r="P8" s="55" t="n">
        <f aca="false">IF(Ayarlar!$B$5+12&lt;=EOMONTH(Ayarlar!$B$5,0),Ayarlar!$B$5+12,"")</f>
        <v>46308</v>
      </c>
      <c r="Q8" s="55" t="n">
        <f aca="false">IF(Ayarlar!$B$5+13&lt;=EOMONTH(Ayarlar!$B$5,0),Ayarlar!$B$5+13,"")</f>
        <v>46309</v>
      </c>
      <c r="R8" s="55" t="n">
        <f aca="false">IF(Ayarlar!$B$5+14&lt;=EOMONTH(Ayarlar!$B$5,0),Ayarlar!$B$5+14,"")</f>
        <v>46310</v>
      </c>
      <c r="S8" s="55" t="n">
        <f aca="false">IF(Ayarlar!$B$5+15&lt;=EOMONTH(Ayarlar!$B$5,0),Ayarlar!$B$5+15,"")</f>
        <v>46311</v>
      </c>
      <c r="T8" s="55" t="n">
        <f aca="false">IF(Ayarlar!$B$5+16&lt;=EOMONTH(Ayarlar!$B$5,0),Ayarlar!$B$5+16,"")</f>
        <v>46312</v>
      </c>
      <c r="U8" s="55" t="n">
        <f aca="false">IF(Ayarlar!$B$5+17&lt;=EOMONTH(Ayarlar!$B$5,0),Ayarlar!$B$5+17,"")</f>
        <v>46313</v>
      </c>
      <c r="V8" s="55" t="n">
        <f aca="false">IF(Ayarlar!$B$5+18&lt;=EOMONTH(Ayarlar!$B$5,0),Ayarlar!$B$5+18,"")</f>
        <v>46314</v>
      </c>
      <c r="W8" s="55" t="n">
        <f aca="false">IF(Ayarlar!$B$5+19&lt;=EOMONTH(Ayarlar!$B$5,0),Ayarlar!$B$5+19,"")</f>
        <v>46315</v>
      </c>
      <c r="X8" s="55" t="n">
        <f aca="false">IF(Ayarlar!$B$5+20&lt;=EOMONTH(Ayarlar!$B$5,0),Ayarlar!$B$5+20,"")</f>
        <v>46316</v>
      </c>
      <c r="Y8" s="55" t="n">
        <f aca="false">IF(Ayarlar!$B$5+21&lt;=EOMONTH(Ayarlar!$B$5,0),Ayarlar!$B$5+21,"")</f>
        <v>46317</v>
      </c>
      <c r="Z8" s="55" t="n">
        <f aca="false">IF(Ayarlar!$B$5+22&lt;=EOMONTH(Ayarlar!$B$5,0),Ayarlar!$B$5+22,"")</f>
        <v>46318</v>
      </c>
      <c r="AA8" s="55" t="n">
        <f aca="false">IF(Ayarlar!$B$5+23&lt;=EOMONTH(Ayarlar!$B$5,0),Ayarlar!$B$5+23,"")</f>
        <v>46319</v>
      </c>
      <c r="AB8" s="55" t="n">
        <f aca="false">IF(Ayarlar!$B$5+24&lt;=EOMONTH(Ayarlar!$B$5,0),Ayarlar!$B$5+24,"")</f>
        <v>46320</v>
      </c>
      <c r="AC8" s="55" t="n">
        <f aca="false">IF(Ayarlar!$B$5+25&lt;=EOMONTH(Ayarlar!$B$5,0),Ayarlar!$B$5+25,"")</f>
        <v>46321</v>
      </c>
      <c r="AD8" s="55" t="n">
        <f aca="false">IF(Ayarlar!$B$5+26&lt;=EOMONTH(Ayarlar!$B$5,0),Ayarlar!$B$5+26,"")</f>
        <v>46322</v>
      </c>
      <c r="AE8" s="55" t="n">
        <f aca="false">IF(Ayarlar!$B$5+27&lt;=EOMONTH(Ayarlar!$B$5,0),Ayarlar!$B$5+27,"")</f>
        <v>46323</v>
      </c>
      <c r="AF8" s="55" t="n">
        <f aca="false">IF(Ayarlar!$B$5+28&lt;=EOMONTH(Ayarlar!$B$5,0),Ayarlar!$B$5+28,"")</f>
        <v>46324</v>
      </c>
      <c r="AG8" s="55" t="n">
        <f aca="false">IF(Ayarlar!$B$5+29&lt;=EOMONTH(Ayarlar!$B$5,0),Ayarlar!$B$5+29,"")</f>
        <v>46325</v>
      </c>
      <c r="AH8" s="55" t="n">
        <f aca="false">IF(Ayarlar!$B$5+30&lt;=EOMONTH(Ayarlar!$B$5,0),Ayarlar!$B$5+30,"")</f>
        <v>46326</v>
      </c>
      <c r="AI8" s="54"/>
      <c r="AJ8" s="54"/>
      <c r="AK8" s="54"/>
      <c r="AL8" s="54"/>
      <c r="AM8" s="54"/>
      <c r="AN8" s="54"/>
      <c r="AO8" s="54"/>
      <c r="AP8" s="54"/>
      <c r="AQ8" s="54"/>
      <c r="AR8" s="54"/>
    </row>
    <row r="9" customFormat="false" ht="15" hidden="false" customHeight="false" outlineLevel="0" collapsed="false">
      <c r="A9" s="54"/>
      <c r="B9" s="54"/>
      <c r="C9" s="54"/>
      <c r="D9" s="56" t="str">
        <f aca="false">IF(D8="","",CHOOSE(WEEKDAY(D8,2),"Pzt","Sal","Çar","Per","Cum","Cmt","Paz"))</f>
        <v>Per</v>
      </c>
      <c r="E9" s="56" t="str">
        <f aca="false">IF(E8="","",CHOOSE(WEEKDAY(E8,2),"Pzt","Sal","Çar","Per","Cum","Cmt","Paz"))</f>
        <v>Cum</v>
      </c>
      <c r="F9" s="56" t="str">
        <f aca="false">IF(F8="","",CHOOSE(WEEKDAY(F8,2),"Pzt","Sal","Çar","Per","Cum","Cmt","Paz"))</f>
        <v>Cmt</v>
      </c>
      <c r="G9" s="56" t="str">
        <f aca="false">IF(G8="","",CHOOSE(WEEKDAY(G8,2),"Pzt","Sal","Çar","Per","Cum","Cmt","Paz"))</f>
        <v>Paz</v>
      </c>
      <c r="H9" s="56" t="str">
        <f aca="false">IF(H8="","",CHOOSE(WEEKDAY(H8,2),"Pzt","Sal","Çar","Per","Cum","Cmt","Paz"))</f>
        <v>Pzt</v>
      </c>
      <c r="I9" s="56" t="str">
        <f aca="false">IF(I8="","",CHOOSE(WEEKDAY(I8,2),"Pzt","Sal","Çar","Per","Cum","Cmt","Paz"))</f>
        <v>Sal</v>
      </c>
      <c r="J9" s="56" t="str">
        <f aca="false">IF(J8="","",CHOOSE(WEEKDAY(J8,2),"Pzt","Sal","Çar","Per","Cum","Cmt","Paz"))</f>
        <v>Çar</v>
      </c>
      <c r="K9" s="56" t="str">
        <f aca="false">IF(K8="","",CHOOSE(WEEKDAY(K8,2),"Pzt","Sal","Çar","Per","Cum","Cmt","Paz"))</f>
        <v>Per</v>
      </c>
      <c r="L9" s="56" t="str">
        <f aca="false">IF(L8="","",CHOOSE(WEEKDAY(L8,2),"Pzt","Sal","Çar","Per","Cum","Cmt","Paz"))</f>
        <v>Cum</v>
      </c>
      <c r="M9" s="56" t="str">
        <f aca="false">IF(M8="","",CHOOSE(WEEKDAY(M8,2),"Pzt","Sal","Çar","Per","Cum","Cmt","Paz"))</f>
        <v>Cmt</v>
      </c>
      <c r="N9" s="56" t="str">
        <f aca="false">IF(N8="","",CHOOSE(WEEKDAY(N8,2),"Pzt","Sal","Çar","Per","Cum","Cmt","Paz"))</f>
        <v>Paz</v>
      </c>
      <c r="O9" s="56" t="str">
        <f aca="false">IF(O8="","",CHOOSE(WEEKDAY(O8,2),"Pzt","Sal","Çar","Per","Cum","Cmt","Paz"))</f>
        <v>Pzt</v>
      </c>
      <c r="P9" s="56" t="str">
        <f aca="false">IF(P8="","",CHOOSE(WEEKDAY(P8,2),"Pzt","Sal","Çar","Per","Cum","Cmt","Paz"))</f>
        <v>Sal</v>
      </c>
      <c r="Q9" s="56" t="str">
        <f aca="false">IF(Q8="","",CHOOSE(WEEKDAY(Q8,2),"Pzt","Sal","Çar","Per","Cum","Cmt","Paz"))</f>
        <v>Çar</v>
      </c>
      <c r="R9" s="56" t="str">
        <f aca="false">IF(R8="","",CHOOSE(WEEKDAY(R8,2),"Pzt","Sal","Çar","Per","Cum","Cmt","Paz"))</f>
        <v>Per</v>
      </c>
      <c r="S9" s="56" t="str">
        <f aca="false">IF(S8="","",CHOOSE(WEEKDAY(S8,2),"Pzt","Sal","Çar","Per","Cum","Cmt","Paz"))</f>
        <v>Cum</v>
      </c>
      <c r="T9" s="56" t="str">
        <f aca="false">IF(T8="","",CHOOSE(WEEKDAY(T8,2),"Pzt","Sal","Çar","Per","Cum","Cmt","Paz"))</f>
        <v>Cmt</v>
      </c>
      <c r="U9" s="56" t="str">
        <f aca="false">IF(U8="","",CHOOSE(WEEKDAY(U8,2),"Pzt","Sal","Çar","Per","Cum","Cmt","Paz"))</f>
        <v>Paz</v>
      </c>
      <c r="V9" s="56" t="str">
        <f aca="false">IF(V8="","",CHOOSE(WEEKDAY(V8,2),"Pzt","Sal","Çar","Per","Cum","Cmt","Paz"))</f>
        <v>Pzt</v>
      </c>
      <c r="W9" s="56" t="str">
        <f aca="false">IF(W8="","",CHOOSE(WEEKDAY(W8,2),"Pzt","Sal","Çar","Per","Cum","Cmt","Paz"))</f>
        <v>Sal</v>
      </c>
      <c r="X9" s="56" t="str">
        <f aca="false">IF(X8="","",CHOOSE(WEEKDAY(X8,2),"Pzt","Sal","Çar","Per","Cum","Cmt","Paz"))</f>
        <v>Çar</v>
      </c>
      <c r="Y9" s="56" t="str">
        <f aca="false">IF(Y8="","",CHOOSE(WEEKDAY(Y8,2),"Pzt","Sal","Çar","Per","Cum","Cmt","Paz"))</f>
        <v>Per</v>
      </c>
      <c r="Z9" s="56" t="str">
        <f aca="false">IF(Z8="","",CHOOSE(WEEKDAY(Z8,2),"Pzt","Sal","Çar","Per","Cum","Cmt","Paz"))</f>
        <v>Cum</v>
      </c>
      <c r="AA9" s="56" t="str">
        <f aca="false">IF(AA8="","",CHOOSE(WEEKDAY(AA8,2),"Pzt","Sal","Çar","Per","Cum","Cmt","Paz"))</f>
        <v>Cmt</v>
      </c>
      <c r="AB9" s="56" t="str">
        <f aca="false">IF(AB8="","",CHOOSE(WEEKDAY(AB8,2),"Pzt","Sal","Çar","Per","Cum","Cmt","Paz"))</f>
        <v>Paz</v>
      </c>
      <c r="AC9" s="56" t="str">
        <f aca="false">IF(AC8="","",CHOOSE(WEEKDAY(AC8,2),"Pzt","Sal","Çar","Per","Cum","Cmt","Paz"))</f>
        <v>Pzt</v>
      </c>
      <c r="AD9" s="56" t="str">
        <f aca="false">IF(AD8="","",CHOOSE(WEEKDAY(AD8,2),"Pzt","Sal","Çar","Per","Cum","Cmt","Paz"))</f>
        <v>Sal</v>
      </c>
      <c r="AE9" s="56" t="str">
        <f aca="false">IF(AE8="","",CHOOSE(WEEKDAY(AE8,2),"Pzt","Sal","Çar","Per","Cum","Cmt","Paz"))</f>
        <v>Çar</v>
      </c>
      <c r="AF9" s="56" t="str">
        <f aca="false">IF(AF8="","",CHOOSE(WEEKDAY(AF8,2),"Pzt","Sal","Çar","Per","Cum","Cmt","Paz"))</f>
        <v>Per</v>
      </c>
      <c r="AG9" s="56" t="str">
        <f aca="false">IF(AG8="","",CHOOSE(WEEKDAY(AG8,2),"Pzt","Sal","Çar","Per","Cum","Cmt","Paz"))</f>
        <v>Cum</v>
      </c>
      <c r="AH9" s="56" t="str">
        <f aca="false">IF(AH8="","",CHOOSE(WEEKDAY(AH8,2),"Pzt","Sal","Çar","Per","Cum","Cmt","Paz"))</f>
        <v>Cmt</v>
      </c>
      <c r="AI9" s="54"/>
      <c r="AJ9" s="54"/>
      <c r="AK9" s="54"/>
      <c r="AL9" s="54"/>
      <c r="AM9" s="54"/>
      <c r="AN9" s="54"/>
      <c r="AO9" s="54"/>
      <c r="AP9" s="54"/>
      <c r="AQ9" s="54"/>
      <c r="AR9" s="54"/>
    </row>
    <row r="10" customFormat="false" ht="39.75" hidden="false" customHeight="true" outlineLevel="0" collapsed="false">
      <c r="A10" s="37" t="s">
        <v>70</v>
      </c>
      <c r="B10" s="37" t="s">
        <v>58</v>
      </c>
      <c r="C10" s="37" t="s">
        <v>71</v>
      </c>
      <c r="D10" s="37" t="n">
        <v>1</v>
      </c>
      <c r="E10" s="37" t="n">
        <v>2</v>
      </c>
      <c r="F10" s="37" t="n">
        <v>3</v>
      </c>
      <c r="G10" s="37" t="n">
        <v>4</v>
      </c>
      <c r="H10" s="37" t="n">
        <v>5</v>
      </c>
      <c r="I10" s="37" t="n">
        <v>6</v>
      </c>
      <c r="J10" s="37" t="n">
        <v>7</v>
      </c>
      <c r="K10" s="37" t="n">
        <v>8</v>
      </c>
      <c r="L10" s="37" t="n">
        <v>9</v>
      </c>
      <c r="M10" s="37" t="n">
        <v>10</v>
      </c>
      <c r="N10" s="37" t="n">
        <v>11</v>
      </c>
      <c r="O10" s="37" t="n">
        <v>12</v>
      </c>
      <c r="P10" s="37" t="n">
        <v>13</v>
      </c>
      <c r="Q10" s="37" t="n">
        <v>14</v>
      </c>
      <c r="R10" s="37" t="n">
        <v>15</v>
      </c>
      <c r="S10" s="37" t="n">
        <v>16</v>
      </c>
      <c r="T10" s="37" t="n">
        <v>17</v>
      </c>
      <c r="U10" s="37" t="n">
        <v>18</v>
      </c>
      <c r="V10" s="37" t="n">
        <v>19</v>
      </c>
      <c r="W10" s="37" t="n">
        <v>20</v>
      </c>
      <c r="X10" s="37" t="n">
        <v>21</v>
      </c>
      <c r="Y10" s="37" t="n">
        <v>22</v>
      </c>
      <c r="Z10" s="37" t="n">
        <v>23</v>
      </c>
      <c r="AA10" s="37" t="n">
        <v>24</v>
      </c>
      <c r="AB10" s="37" t="n">
        <v>25</v>
      </c>
      <c r="AC10" s="37" t="n">
        <v>26</v>
      </c>
      <c r="AD10" s="37" t="n">
        <v>27</v>
      </c>
      <c r="AE10" s="37" t="n">
        <v>28</v>
      </c>
      <c r="AF10" s="37" t="n">
        <v>29</v>
      </c>
      <c r="AG10" s="37" t="n">
        <v>30</v>
      </c>
      <c r="AH10" s="37" t="n">
        <v>31</v>
      </c>
      <c r="AI10" s="57" t="s">
        <v>72</v>
      </c>
      <c r="AJ10" s="57" t="s">
        <v>73</v>
      </c>
      <c r="AK10" s="57" t="s">
        <v>74</v>
      </c>
      <c r="AL10" s="57" t="s">
        <v>75</v>
      </c>
      <c r="AM10" s="57" t="s">
        <v>76</v>
      </c>
      <c r="AN10" s="57" t="s">
        <v>77</v>
      </c>
      <c r="AO10" s="57" t="s">
        <v>78</v>
      </c>
      <c r="AP10" s="57" t="s">
        <v>36</v>
      </c>
      <c r="AQ10" s="57" t="s">
        <v>79</v>
      </c>
      <c r="AR10" s="57" t="s">
        <v>61</v>
      </c>
    </row>
    <row r="11" customFormat="false" ht="15" hidden="false" customHeight="false" outlineLevel="0" collapsed="false">
      <c r="A11" s="58" t="s">
        <v>80</v>
      </c>
      <c r="B11" s="59" t="s">
        <v>81</v>
      </c>
      <c r="C11" s="59" t="s">
        <v>82</v>
      </c>
      <c r="D11" s="60" t="n">
        <v>7.5</v>
      </c>
      <c r="E11" s="60" t="n">
        <v>7.5</v>
      </c>
      <c r="F11" s="60" t="s">
        <v>83</v>
      </c>
      <c r="G11" s="60" t="s">
        <v>83</v>
      </c>
      <c r="H11" s="60" t="n">
        <v>9.5</v>
      </c>
      <c r="I11" s="60" t="n">
        <v>7.5</v>
      </c>
      <c r="J11" s="60" t="n">
        <v>7.5</v>
      </c>
      <c r="K11" s="60" t="n">
        <v>7.5</v>
      </c>
      <c r="L11" s="60" t="s">
        <v>84</v>
      </c>
      <c r="M11" s="60" t="n">
        <v>7.5</v>
      </c>
      <c r="N11" s="60" t="s">
        <v>83</v>
      </c>
      <c r="O11" s="60" t="n">
        <v>7.5</v>
      </c>
      <c r="P11" s="60" t="n">
        <v>7.5</v>
      </c>
      <c r="Q11" s="60" t="s">
        <v>85</v>
      </c>
      <c r="R11" s="60" t="n">
        <v>7.5</v>
      </c>
      <c r="S11" s="60" t="n">
        <v>7.5</v>
      </c>
      <c r="T11" s="60" t="n">
        <v>7.5</v>
      </c>
      <c r="U11" s="60" t="s">
        <v>83</v>
      </c>
      <c r="V11" s="60" t="n">
        <v>7.5</v>
      </c>
      <c r="W11" s="60" t="n">
        <v>9.5</v>
      </c>
      <c r="X11" s="60" t="n">
        <v>7.5</v>
      </c>
      <c r="Y11" s="60" t="s">
        <v>84</v>
      </c>
      <c r="Z11" s="60" t="n">
        <v>7.5</v>
      </c>
      <c r="AA11" s="60" t="n">
        <v>7.5</v>
      </c>
      <c r="AB11" s="60" t="s">
        <v>83</v>
      </c>
      <c r="AC11" s="60" t="n">
        <v>7.5</v>
      </c>
      <c r="AD11" s="60" t="n">
        <v>7.5</v>
      </c>
      <c r="AE11" s="60" t="n">
        <v>7.5</v>
      </c>
      <c r="AF11" s="60" t="s">
        <v>86</v>
      </c>
      <c r="AG11" s="60" t="n">
        <v>7.5</v>
      </c>
      <c r="AH11" s="60" t="s">
        <v>83</v>
      </c>
      <c r="AI11" s="61" t="n">
        <f aca="false">COUNT(D11:AH11)</f>
        <v>21</v>
      </c>
      <c r="AJ11" s="62" t="n">
        <f aca="false">SUM(D11:AH11)</f>
        <v>161.5</v>
      </c>
      <c r="AK11" s="63" t="n">
        <f aca="false">SUMIF(D11:AH11,"&gt;"&amp;Ayarlar!$B$6)-Ayarlar!$B$6*COUNTIF(D11:AH11,"&gt;"&amp;Ayarlar!$B$6)</f>
        <v>4</v>
      </c>
      <c r="AL11" s="64" t="n">
        <f aca="false">COUNTIF(D11:AH11,"HT")</f>
        <v>6</v>
      </c>
      <c r="AM11" s="64" t="n">
        <f aca="false">COUNTIF(D11:AH11,"Yİ")</f>
        <v>2</v>
      </c>
      <c r="AN11" s="64" t="n">
        <f aca="false">COUNTIF(D11:AH11,"R")</f>
        <v>0</v>
      </c>
      <c r="AO11" s="64" t="n">
        <f aca="false">COUNTIF(D11:AH11,"Üİ")</f>
        <v>0</v>
      </c>
      <c r="AP11" s="64" t="n">
        <f aca="false">COUNTIF(D11:AH11,"D")</f>
        <v>1</v>
      </c>
      <c r="AQ11" s="61" t="n">
        <f aca="false">MIN(30,AI11+AL11+AM11+COUNTIF(D11:AH11,"RT")+COUNTIF(D11:AH11,"Mİ")+MIN(2,AN11))</f>
        <v>30</v>
      </c>
      <c r="AR11" s="65" t="str">
        <f aca="false">IF(AK11&gt;=Ayarlar!$B$8,"FM yüksek",IF(AP11&gt;0,"Devamsız",IF(AL11&lt;4,"HT eksik","")))</f>
        <v>Devamsız</v>
      </c>
      <c r="AT11" s="14"/>
      <c r="AU11" s="66" t="s">
        <v>87</v>
      </c>
    </row>
    <row r="12" customFormat="false" ht="15" hidden="false" customHeight="false" outlineLevel="0" collapsed="false">
      <c r="A12" s="58" t="s">
        <v>88</v>
      </c>
      <c r="B12" s="59" t="s">
        <v>89</v>
      </c>
      <c r="C12" s="59" t="s">
        <v>82</v>
      </c>
      <c r="D12" s="60" t="n">
        <v>7.5</v>
      </c>
      <c r="E12" s="60" t="n">
        <v>7.5</v>
      </c>
      <c r="F12" s="60" t="n">
        <v>7.5</v>
      </c>
      <c r="G12" s="60" t="s">
        <v>83</v>
      </c>
      <c r="H12" s="60" t="n">
        <v>9.5</v>
      </c>
      <c r="I12" s="60" t="n">
        <v>7.5</v>
      </c>
      <c r="J12" s="60" t="n">
        <v>7.5</v>
      </c>
      <c r="K12" s="60" t="n">
        <v>7.5</v>
      </c>
      <c r="L12" s="60" t="n">
        <v>7.5</v>
      </c>
      <c r="M12" s="60" t="n">
        <v>7.5</v>
      </c>
      <c r="N12" s="60" t="s">
        <v>83</v>
      </c>
      <c r="O12" s="60" t="n">
        <v>7.5</v>
      </c>
      <c r="P12" s="60" t="n">
        <v>9.5</v>
      </c>
      <c r="Q12" s="60" t="n">
        <v>7.5</v>
      </c>
      <c r="R12" s="60" t="n">
        <v>10.5</v>
      </c>
      <c r="S12" s="60" t="n">
        <v>7.5</v>
      </c>
      <c r="T12" s="60" t="s">
        <v>83</v>
      </c>
      <c r="U12" s="60" t="s">
        <v>83</v>
      </c>
      <c r="V12" s="60" t="s">
        <v>84</v>
      </c>
      <c r="W12" s="60" t="n">
        <v>7.5</v>
      </c>
      <c r="X12" s="60" t="n">
        <v>7.5</v>
      </c>
      <c r="Y12" s="60" t="n">
        <v>7.5</v>
      </c>
      <c r="Z12" s="60" t="n">
        <v>7.5</v>
      </c>
      <c r="AA12" s="60" t="s">
        <v>84</v>
      </c>
      <c r="AB12" s="60" t="s">
        <v>83</v>
      </c>
      <c r="AC12" s="60" t="n">
        <v>7.5</v>
      </c>
      <c r="AD12" s="60" t="s">
        <v>90</v>
      </c>
      <c r="AE12" s="60" t="n">
        <v>7.5</v>
      </c>
      <c r="AF12" s="60" t="s">
        <v>86</v>
      </c>
      <c r="AG12" s="60" t="n">
        <v>9.5</v>
      </c>
      <c r="AH12" s="60" t="n">
        <v>7.5</v>
      </c>
      <c r="AI12" s="61" t="n">
        <f aca="false">COUNT(D12:AH12)</f>
        <v>22</v>
      </c>
      <c r="AJ12" s="62" t="n">
        <f aca="false">SUM(D12:AH12)</f>
        <v>174</v>
      </c>
      <c r="AK12" s="63" t="n">
        <f aca="false">SUMIF(D12:AH12,"&gt;"&amp;Ayarlar!$B$6)-Ayarlar!$B$6*COUNTIF(D12:AH12,"&gt;"&amp;Ayarlar!$B$6)</f>
        <v>9</v>
      </c>
      <c r="AL12" s="64" t="n">
        <f aca="false">COUNTIF(D12:AH12,"HT")</f>
        <v>5</v>
      </c>
      <c r="AM12" s="64" t="n">
        <f aca="false">COUNTIF(D12:AH12,"Yİ")</f>
        <v>2</v>
      </c>
      <c r="AN12" s="64" t="n">
        <f aca="false">COUNTIF(D12:AH12,"R")</f>
        <v>1</v>
      </c>
      <c r="AO12" s="64" t="n">
        <f aca="false">COUNTIF(D12:AH12,"Üİ")</f>
        <v>0</v>
      </c>
      <c r="AP12" s="64" t="n">
        <f aca="false">COUNTIF(D12:AH12,"D")</f>
        <v>0</v>
      </c>
      <c r="AQ12" s="61" t="n">
        <f aca="false">MIN(30,AI12+AL12+AM12+COUNTIF(D12:AH12,"RT")+COUNTIF(D12:AH12,"Mİ")+MIN(2,AN12))</f>
        <v>30</v>
      </c>
      <c r="AR12" s="65" t="str">
        <f aca="false">IF(AK12&gt;=Ayarlar!$B$8,"FM yüksek",IF(AP12&gt;0,"Devamsız",IF(AL12&lt;4,"HT eksik","")))</f>
        <v/>
      </c>
      <c r="AT12" s="67"/>
      <c r="AU12" s="66" t="s">
        <v>91</v>
      </c>
    </row>
    <row r="13" customFormat="false" ht="15" hidden="false" customHeight="false" outlineLevel="0" collapsed="false">
      <c r="A13" s="58" t="s">
        <v>92</v>
      </c>
      <c r="B13" s="59" t="s">
        <v>93</v>
      </c>
      <c r="C13" s="59" t="s">
        <v>82</v>
      </c>
      <c r="D13" s="60" t="n">
        <v>7.5</v>
      </c>
      <c r="E13" s="60" t="n">
        <v>7.5</v>
      </c>
      <c r="F13" s="60" t="n">
        <v>7.5</v>
      </c>
      <c r="G13" s="60" t="s">
        <v>83</v>
      </c>
      <c r="H13" s="60" t="n">
        <v>10.5</v>
      </c>
      <c r="I13" s="60" t="n">
        <v>7.5</v>
      </c>
      <c r="J13" s="60" t="n">
        <v>7.5</v>
      </c>
      <c r="K13" s="60" t="n">
        <v>7.5</v>
      </c>
      <c r="L13" s="60" t="n">
        <v>7.5</v>
      </c>
      <c r="M13" s="60" t="s">
        <v>83</v>
      </c>
      <c r="N13" s="60" t="s">
        <v>83</v>
      </c>
      <c r="O13" s="60" t="n">
        <v>7.5</v>
      </c>
      <c r="P13" s="60" t="n">
        <v>10.5</v>
      </c>
      <c r="Q13" s="60" t="n">
        <v>10.5</v>
      </c>
      <c r="R13" s="60" t="n">
        <v>10.5</v>
      </c>
      <c r="S13" s="60" t="n">
        <v>7.5</v>
      </c>
      <c r="T13" s="60" t="s">
        <v>83</v>
      </c>
      <c r="U13" s="60" t="s">
        <v>83</v>
      </c>
      <c r="V13" s="60" t="n">
        <v>9.5</v>
      </c>
      <c r="W13" s="60" t="n">
        <v>10.5</v>
      </c>
      <c r="X13" s="60" t="n">
        <v>7.5</v>
      </c>
      <c r="Y13" s="60" t="n">
        <v>10.5</v>
      </c>
      <c r="Z13" s="60" t="n">
        <v>10.5</v>
      </c>
      <c r="AA13" s="60" t="n">
        <v>7.5</v>
      </c>
      <c r="AB13" s="60" t="s">
        <v>83</v>
      </c>
      <c r="AC13" s="60" t="n">
        <v>7.5</v>
      </c>
      <c r="AD13" s="60" t="n">
        <v>10.5</v>
      </c>
      <c r="AE13" s="60" t="n">
        <v>7.5</v>
      </c>
      <c r="AF13" s="60" t="s">
        <v>86</v>
      </c>
      <c r="AG13" s="60" t="n">
        <v>10.5</v>
      </c>
      <c r="AH13" s="60" t="n">
        <v>7.5</v>
      </c>
      <c r="AI13" s="61" t="n">
        <f aca="false">COUNT(D13:AH13)</f>
        <v>24</v>
      </c>
      <c r="AJ13" s="62" t="n">
        <f aca="false">SUM(D13:AH13)</f>
        <v>209</v>
      </c>
      <c r="AK13" s="63" t="n">
        <f aca="false">SUMIF(D13:AH13,"&gt;"&amp;Ayarlar!$B$6)-Ayarlar!$B$6*COUNTIF(D13:AH13,"&gt;"&amp;Ayarlar!$B$6)</f>
        <v>29</v>
      </c>
      <c r="AL13" s="64" t="n">
        <f aca="false">COUNTIF(D13:AH13,"HT")</f>
        <v>6</v>
      </c>
      <c r="AM13" s="64" t="n">
        <f aca="false">COUNTIF(D13:AH13,"Yİ")</f>
        <v>0</v>
      </c>
      <c r="AN13" s="64" t="n">
        <f aca="false">COUNTIF(D13:AH13,"R")</f>
        <v>0</v>
      </c>
      <c r="AO13" s="64" t="n">
        <f aca="false">COUNTIF(D13:AH13,"Üİ")</f>
        <v>0</v>
      </c>
      <c r="AP13" s="64" t="n">
        <f aca="false">COUNTIF(D13:AH13,"D")</f>
        <v>0</v>
      </c>
      <c r="AQ13" s="61" t="n">
        <f aca="false">MIN(30,AI13+AL13+AM13+COUNTIF(D13:AH13,"RT")+COUNTIF(D13:AH13,"Mİ")+MIN(2,AN13))</f>
        <v>30</v>
      </c>
      <c r="AR13" s="65" t="str">
        <f aca="false">IF(AK13&gt;=Ayarlar!$B$8,"FM yüksek",IF(AP13&gt;0,"Devamsız",IF(AL13&lt;4,"HT eksik","")))</f>
        <v/>
      </c>
      <c r="AT13" s="68"/>
      <c r="AU13" s="66" t="s">
        <v>94</v>
      </c>
    </row>
    <row r="14" customFormat="false" ht="15" hidden="false" customHeight="false" outlineLevel="0" collapsed="false">
      <c r="A14" s="58" t="s">
        <v>95</v>
      </c>
      <c r="B14" s="59" t="s">
        <v>96</v>
      </c>
      <c r="C14" s="59" t="s">
        <v>82</v>
      </c>
      <c r="D14" s="60" t="n">
        <v>7.5</v>
      </c>
      <c r="E14" s="60" t="n">
        <v>7.5</v>
      </c>
      <c r="F14" s="60" t="s">
        <v>85</v>
      </c>
      <c r="G14" s="60" t="s">
        <v>83</v>
      </c>
      <c r="H14" s="60" t="n">
        <v>7.5</v>
      </c>
      <c r="I14" s="60" t="n">
        <v>7.5</v>
      </c>
      <c r="J14" s="60" t="n">
        <v>7.5</v>
      </c>
      <c r="K14" s="60" t="n">
        <v>10.5</v>
      </c>
      <c r="L14" s="60" t="n">
        <v>7.5</v>
      </c>
      <c r="M14" s="60" t="n">
        <v>7.5</v>
      </c>
      <c r="N14" s="60" t="s">
        <v>83</v>
      </c>
      <c r="O14" s="60" t="n">
        <v>9.5</v>
      </c>
      <c r="P14" s="60" t="n">
        <v>7.5</v>
      </c>
      <c r="Q14" s="60" t="n">
        <v>7.5</v>
      </c>
      <c r="R14" s="60" t="s">
        <v>84</v>
      </c>
      <c r="S14" s="60" t="n">
        <v>10.5</v>
      </c>
      <c r="T14" s="60" t="s">
        <v>83</v>
      </c>
      <c r="U14" s="60" t="s">
        <v>83</v>
      </c>
      <c r="V14" s="60" t="n">
        <v>7.5</v>
      </c>
      <c r="W14" s="60" t="n">
        <v>7.5</v>
      </c>
      <c r="X14" s="60" t="n">
        <v>7.5</v>
      </c>
      <c r="Y14" s="60" t="n">
        <v>7.5</v>
      </c>
      <c r="Z14" s="60" t="n">
        <v>10.5</v>
      </c>
      <c r="AA14" s="60" t="s">
        <v>84</v>
      </c>
      <c r="AB14" s="60" t="s">
        <v>83</v>
      </c>
      <c r="AC14" s="60" t="n">
        <v>7.5</v>
      </c>
      <c r="AD14" s="60" t="n">
        <v>10.5</v>
      </c>
      <c r="AE14" s="60" t="n">
        <v>7.5</v>
      </c>
      <c r="AF14" s="60" t="s">
        <v>86</v>
      </c>
      <c r="AG14" s="60" t="n">
        <v>7.5</v>
      </c>
      <c r="AH14" s="60" t="n">
        <v>7.5</v>
      </c>
      <c r="AI14" s="61" t="n">
        <f aca="false">COUNT(D14:AH14)</f>
        <v>22</v>
      </c>
      <c r="AJ14" s="62" t="n">
        <f aca="false">SUM(D14:AH14)</f>
        <v>179</v>
      </c>
      <c r="AK14" s="63" t="n">
        <f aca="false">SUMIF(D14:AH14,"&gt;"&amp;Ayarlar!$B$6)-Ayarlar!$B$6*COUNTIF(D14:AH14,"&gt;"&amp;Ayarlar!$B$6)</f>
        <v>14</v>
      </c>
      <c r="AL14" s="64" t="n">
        <f aca="false">COUNTIF(D14:AH14,"HT")</f>
        <v>5</v>
      </c>
      <c r="AM14" s="64" t="n">
        <f aca="false">COUNTIF(D14:AH14,"Yİ")</f>
        <v>2</v>
      </c>
      <c r="AN14" s="64" t="n">
        <f aca="false">COUNTIF(D14:AH14,"R")</f>
        <v>0</v>
      </c>
      <c r="AO14" s="64" t="n">
        <f aca="false">COUNTIF(D14:AH14,"Üİ")</f>
        <v>0</v>
      </c>
      <c r="AP14" s="64" t="n">
        <f aca="false">COUNTIF(D14:AH14,"D")</f>
        <v>1</v>
      </c>
      <c r="AQ14" s="61" t="n">
        <f aca="false">MIN(30,AI14+AL14+AM14+COUNTIF(D14:AH14,"RT")+COUNTIF(D14:AH14,"Mİ")+MIN(2,AN14))</f>
        <v>30</v>
      </c>
      <c r="AR14" s="65" t="str">
        <f aca="false">IF(AK14&gt;=Ayarlar!$B$8,"FM yüksek",IF(AP14&gt;0,"Devamsız",IF(AL14&lt;4,"HT eksik","")))</f>
        <v>Devamsız</v>
      </c>
      <c r="AT14" s="68"/>
      <c r="AU14" s="66" t="s">
        <v>97</v>
      </c>
    </row>
    <row r="15" customFormat="false" ht="15" hidden="false" customHeight="false" outlineLevel="0" collapsed="false">
      <c r="A15" s="58" t="s">
        <v>98</v>
      </c>
      <c r="B15" s="59" t="s">
        <v>99</v>
      </c>
      <c r="C15" s="59" t="s">
        <v>82</v>
      </c>
      <c r="D15" s="60" t="n">
        <v>7.5</v>
      </c>
      <c r="E15" s="60" t="n">
        <v>7.5</v>
      </c>
      <c r="F15" s="60" t="n">
        <v>7.5</v>
      </c>
      <c r="G15" s="60" t="s">
        <v>83</v>
      </c>
      <c r="H15" s="60" t="n">
        <v>7.5</v>
      </c>
      <c r="I15" s="60" t="n">
        <v>10.5</v>
      </c>
      <c r="J15" s="60" t="n">
        <v>7.5</v>
      </c>
      <c r="K15" s="60" t="n">
        <v>7.5</v>
      </c>
      <c r="L15" s="60" t="n">
        <v>7.5</v>
      </c>
      <c r="M15" s="60" t="n">
        <v>7.5</v>
      </c>
      <c r="N15" s="60" t="s">
        <v>83</v>
      </c>
      <c r="O15" s="60" t="n">
        <v>7.5</v>
      </c>
      <c r="P15" s="60" t="n">
        <v>7.5</v>
      </c>
      <c r="Q15" s="60" t="n">
        <v>7.5</v>
      </c>
      <c r="R15" s="60" t="n">
        <v>7.5</v>
      </c>
      <c r="S15" s="60" t="n">
        <v>7.5</v>
      </c>
      <c r="T15" s="60" t="s">
        <v>83</v>
      </c>
      <c r="U15" s="60" t="s">
        <v>83</v>
      </c>
      <c r="V15" s="60" t="n">
        <v>7.5</v>
      </c>
      <c r="W15" s="60" t="n">
        <v>7.5</v>
      </c>
      <c r="X15" s="60" t="n">
        <v>7.5</v>
      </c>
      <c r="Y15" s="60" t="n">
        <v>7.5</v>
      </c>
      <c r="Z15" s="60" t="n">
        <v>7.5</v>
      </c>
      <c r="AA15" s="60" t="s">
        <v>83</v>
      </c>
      <c r="AB15" s="60" t="s">
        <v>83</v>
      </c>
      <c r="AC15" s="60" t="n">
        <v>7.5</v>
      </c>
      <c r="AD15" s="60" t="n">
        <v>7.5</v>
      </c>
      <c r="AE15" s="60" t="n">
        <v>7.5</v>
      </c>
      <c r="AF15" s="60" t="s">
        <v>86</v>
      </c>
      <c r="AG15" s="60" t="n">
        <v>7.5</v>
      </c>
      <c r="AH15" s="60" t="n">
        <v>7.5</v>
      </c>
      <c r="AI15" s="61" t="n">
        <f aca="false">COUNT(D15:AH15)</f>
        <v>24</v>
      </c>
      <c r="AJ15" s="62" t="n">
        <f aca="false">SUM(D15:AH15)</f>
        <v>183</v>
      </c>
      <c r="AK15" s="63" t="n">
        <f aca="false">SUMIF(D15:AH15,"&gt;"&amp;Ayarlar!$B$6)-Ayarlar!$B$6*COUNTIF(D15:AH15,"&gt;"&amp;Ayarlar!$B$6)</f>
        <v>3</v>
      </c>
      <c r="AL15" s="64" t="n">
        <f aca="false">COUNTIF(D15:AH15,"HT")</f>
        <v>6</v>
      </c>
      <c r="AM15" s="64" t="n">
        <f aca="false">COUNTIF(D15:AH15,"Yİ")</f>
        <v>0</v>
      </c>
      <c r="AN15" s="64" t="n">
        <f aca="false">COUNTIF(D15:AH15,"R")</f>
        <v>0</v>
      </c>
      <c r="AO15" s="64" t="n">
        <f aca="false">COUNTIF(D15:AH15,"Üİ")</f>
        <v>0</v>
      </c>
      <c r="AP15" s="64" t="n">
        <f aca="false">COUNTIF(D15:AH15,"D")</f>
        <v>0</v>
      </c>
      <c r="AQ15" s="61" t="n">
        <f aca="false">MIN(30,AI15+AL15+AM15+COUNTIF(D15:AH15,"RT")+COUNTIF(D15:AH15,"Mİ")+MIN(2,AN15))</f>
        <v>30</v>
      </c>
      <c r="AR15" s="65" t="str">
        <f aca="false">IF(AK15&gt;=Ayarlar!$B$8,"FM yüksek",IF(AP15&gt;0,"Devamsız",IF(AL15&lt;4,"HT eksik","")))</f>
        <v/>
      </c>
      <c r="AT15" s="15"/>
      <c r="AU15" s="66" t="s">
        <v>100</v>
      </c>
    </row>
    <row r="16" customFormat="false" ht="15" hidden="false" customHeight="false" outlineLevel="0" collapsed="false">
      <c r="A16" s="58" t="s">
        <v>101</v>
      </c>
      <c r="B16" s="59" t="s">
        <v>102</v>
      </c>
      <c r="C16" s="59" t="s">
        <v>82</v>
      </c>
      <c r="D16" s="60" t="n">
        <v>7.5</v>
      </c>
      <c r="E16" s="60" t="n">
        <v>7.5</v>
      </c>
      <c r="F16" s="60" t="n">
        <v>7.5</v>
      </c>
      <c r="G16" s="60" t="s">
        <v>83</v>
      </c>
      <c r="H16" s="60" t="n">
        <v>7.5</v>
      </c>
      <c r="I16" s="60" t="n">
        <v>10.5</v>
      </c>
      <c r="J16" s="60" t="n">
        <v>7.5</v>
      </c>
      <c r="K16" s="60" t="n">
        <v>7.5</v>
      </c>
      <c r="L16" s="60" t="n">
        <v>9.5</v>
      </c>
      <c r="M16" s="60" t="s">
        <v>83</v>
      </c>
      <c r="N16" s="60" t="s">
        <v>83</v>
      </c>
      <c r="O16" s="60" t="n">
        <v>7.5</v>
      </c>
      <c r="P16" s="60" t="n">
        <v>7.5</v>
      </c>
      <c r="Q16" s="60" t="n">
        <v>9.5</v>
      </c>
      <c r="R16" s="60" t="n">
        <v>7.5</v>
      </c>
      <c r="S16" s="60" t="n">
        <v>10.5</v>
      </c>
      <c r="T16" s="60" t="s">
        <v>83</v>
      </c>
      <c r="U16" s="60" t="s">
        <v>83</v>
      </c>
      <c r="V16" s="60" t="n">
        <v>7.5</v>
      </c>
      <c r="W16" s="60" t="n">
        <v>7.5</v>
      </c>
      <c r="X16" s="60" t="n">
        <v>7.5</v>
      </c>
      <c r="Y16" s="60" t="n">
        <v>7.5</v>
      </c>
      <c r="Z16" s="60" t="s">
        <v>90</v>
      </c>
      <c r="AA16" s="60" t="n">
        <v>7.5</v>
      </c>
      <c r="AB16" s="60" t="s">
        <v>83</v>
      </c>
      <c r="AC16" s="60" t="n">
        <v>7.5</v>
      </c>
      <c r="AD16" s="60" t="n">
        <v>7.5</v>
      </c>
      <c r="AE16" s="60" t="n">
        <v>7.5</v>
      </c>
      <c r="AF16" s="60" t="s">
        <v>86</v>
      </c>
      <c r="AG16" s="60" t="n">
        <v>9.5</v>
      </c>
      <c r="AH16" s="60" t="n">
        <v>7.5</v>
      </c>
      <c r="AI16" s="61" t="n">
        <f aca="false">COUNT(D16:AH16)</f>
        <v>23</v>
      </c>
      <c r="AJ16" s="62" t="n">
        <f aca="false">SUM(D16:AH16)</f>
        <v>184.5</v>
      </c>
      <c r="AK16" s="63" t="n">
        <f aca="false">SUMIF(D16:AH16,"&gt;"&amp;Ayarlar!$B$6)-Ayarlar!$B$6*COUNTIF(D16:AH16,"&gt;"&amp;Ayarlar!$B$6)</f>
        <v>12</v>
      </c>
      <c r="AL16" s="64" t="n">
        <f aca="false">COUNTIF(D16:AH16,"HT")</f>
        <v>6</v>
      </c>
      <c r="AM16" s="64" t="n">
        <f aca="false">COUNTIF(D16:AH16,"Yİ")</f>
        <v>0</v>
      </c>
      <c r="AN16" s="64" t="n">
        <f aca="false">COUNTIF(D16:AH16,"R")</f>
        <v>1</v>
      </c>
      <c r="AO16" s="64" t="n">
        <f aca="false">COUNTIF(D16:AH16,"Üİ")</f>
        <v>0</v>
      </c>
      <c r="AP16" s="64" t="n">
        <f aca="false">COUNTIF(D16:AH16,"D")</f>
        <v>0</v>
      </c>
      <c r="AQ16" s="61" t="n">
        <f aca="false">MIN(30,AI16+AL16+AM16+COUNTIF(D16:AH16,"RT")+COUNTIF(D16:AH16,"Mİ")+MIN(2,AN16))</f>
        <v>30</v>
      </c>
      <c r="AR16" s="65" t="str">
        <f aca="false">IF(AK16&gt;=Ayarlar!$B$8,"FM yüksek",IF(AP16&gt;0,"Devamsız",IF(AL16&lt;4,"HT eksik","")))</f>
        <v/>
      </c>
      <c r="AT16" s="17"/>
      <c r="AU16" s="66" t="s">
        <v>103</v>
      </c>
    </row>
    <row r="17" customFormat="false" ht="15" hidden="false" customHeight="false" outlineLevel="0" collapsed="false">
      <c r="A17" s="58" t="s">
        <v>104</v>
      </c>
      <c r="B17" s="59" t="s">
        <v>105</v>
      </c>
      <c r="C17" s="59" t="s">
        <v>82</v>
      </c>
      <c r="D17" s="60" t="n">
        <v>7.5</v>
      </c>
      <c r="E17" s="60" t="n">
        <v>7.5</v>
      </c>
      <c r="F17" s="60" t="n">
        <v>7.5</v>
      </c>
      <c r="G17" s="60" t="s">
        <v>83</v>
      </c>
      <c r="H17" s="60" t="n">
        <v>9.5</v>
      </c>
      <c r="I17" s="60" t="n">
        <v>7.5</v>
      </c>
      <c r="J17" s="60" t="n">
        <v>7.5</v>
      </c>
      <c r="K17" s="60" t="n">
        <v>7.5</v>
      </c>
      <c r="L17" s="60" t="n">
        <v>10.5</v>
      </c>
      <c r="M17" s="60" t="n">
        <v>7.5</v>
      </c>
      <c r="N17" s="60" t="s">
        <v>83</v>
      </c>
      <c r="O17" s="60" t="n">
        <v>7.5</v>
      </c>
      <c r="P17" s="60" t="n">
        <v>10.5</v>
      </c>
      <c r="Q17" s="60" t="n">
        <v>7.5</v>
      </c>
      <c r="R17" s="60" t="n">
        <v>7.5</v>
      </c>
      <c r="S17" s="60" t="n">
        <v>9.5</v>
      </c>
      <c r="T17" s="60" t="n">
        <v>7.5</v>
      </c>
      <c r="U17" s="60" t="s">
        <v>83</v>
      </c>
      <c r="V17" s="60" t="n">
        <v>7.5</v>
      </c>
      <c r="W17" s="60" t="n">
        <v>10.5</v>
      </c>
      <c r="X17" s="60" t="n">
        <v>7.5</v>
      </c>
      <c r="Y17" s="60" t="n">
        <v>7.5</v>
      </c>
      <c r="Z17" s="60" t="n">
        <v>10.5</v>
      </c>
      <c r="AA17" s="60" t="n">
        <v>7.5</v>
      </c>
      <c r="AB17" s="60" t="s">
        <v>83</v>
      </c>
      <c r="AC17" s="60" t="n">
        <v>7.5</v>
      </c>
      <c r="AD17" s="60" t="n">
        <v>7.5</v>
      </c>
      <c r="AE17" s="60" t="n">
        <v>7.5</v>
      </c>
      <c r="AF17" s="60" t="s">
        <v>86</v>
      </c>
      <c r="AG17" s="60" t="n">
        <v>7.5</v>
      </c>
      <c r="AH17" s="60" t="n">
        <v>7.5</v>
      </c>
      <c r="AI17" s="61" t="n">
        <f aca="false">COUNT(D17:AH17)</f>
        <v>26</v>
      </c>
      <c r="AJ17" s="62" t="n">
        <f aca="false">SUM(D17:AH17)</f>
        <v>211</v>
      </c>
      <c r="AK17" s="63" t="n">
        <f aca="false">SUMIF(D17:AH17,"&gt;"&amp;Ayarlar!$B$6)-Ayarlar!$B$6*COUNTIF(D17:AH17,"&gt;"&amp;Ayarlar!$B$6)</f>
        <v>16</v>
      </c>
      <c r="AL17" s="64" t="n">
        <f aca="false">COUNTIF(D17:AH17,"HT")</f>
        <v>4</v>
      </c>
      <c r="AM17" s="64" t="n">
        <f aca="false">COUNTIF(D17:AH17,"Yİ")</f>
        <v>0</v>
      </c>
      <c r="AN17" s="64" t="n">
        <f aca="false">COUNTIF(D17:AH17,"R")</f>
        <v>0</v>
      </c>
      <c r="AO17" s="64" t="n">
        <f aca="false">COUNTIF(D17:AH17,"Üİ")</f>
        <v>0</v>
      </c>
      <c r="AP17" s="64" t="n">
        <f aca="false">COUNTIF(D17:AH17,"D")</f>
        <v>0</v>
      </c>
      <c r="AQ17" s="61" t="n">
        <f aca="false">MIN(30,AI17+AL17+AM17+COUNTIF(D17:AH17,"RT")+COUNTIF(D17:AH17,"Mİ")+MIN(2,AN17))</f>
        <v>30</v>
      </c>
      <c r="AR17" s="65" t="str">
        <f aca="false">IF(AK17&gt;=Ayarlar!$B$8,"FM yüksek",IF(AP17&gt;0,"Devamsız",IF(AL17&lt;4,"HT eksik","")))</f>
        <v/>
      </c>
      <c r="AT17" s="17"/>
      <c r="AU17" s="66" t="s">
        <v>106</v>
      </c>
    </row>
    <row r="18" customFormat="false" ht="15" hidden="false" customHeight="false" outlineLevel="0" collapsed="false">
      <c r="A18" s="58" t="s">
        <v>107</v>
      </c>
      <c r="B18" s="59" t="s">
        <v>108</v>
      </c>
      <c r="C18" s="59" t="s">
        <v>82</v>
      </c>
      <c r="D18" s="60" t="n">
        <v>9.5</v>
      </c>
      <c r="E18" s="60" t="n">
        <v>10.5</v>
      </c>
      <c r="F18" s="60" t="n">
        <v>7.5</v>
      </c>
      <c r="G18" s="60" t="s">
        <v>83</v>
      </c>
      <c r="H18" s="60" t="n">
        <v>7.5</v>
      </c>
      <c r="I18" s="60" t="n">
        <v>7.5</v>
      </c>
      <c r="J18" s="60" t="n">
        <v>7.5</v>
      </c>
      <c r="K18" s="60" t="n">
        <v>7.5</v>
      </c>
      <c r="L18" s="60" t="n">
        <v>7.5</v>
      </c>
      <c r="M18" s="60" t="n">
        <v>7.5</v>
      </c>
      <c r="N18" s="60" t="s">
        <v>83</v>
      </c>
      <c r="O18" s="60" t="n">
        <v>10.5</v>
      </c>
      <c r="P18" s="60" t="n">
        <v>9.5</v>
      </c>
      <c r="Q18" s="60" t="n">
        <v>10.5</v>
      </c>
      <c r="R18" s="60" t="n">
        <v>7.5</v>
      </c>
      <c r="S18" s="60" t="n">
        <v>10.5</v>
      </c>
      <c r="T18" s="60" t="s">
        <v>83</v>
      </c>
      <c r="U18" s="60" t="s">
        <v>83</v>
      </c>
      <c r="V18" s="60" t="n">
        <v>9.5</v>
      </c>
      <c r="W18" s="60" t="n">
        <v>7.5</v>
      </c>
      <c r="X18" s="60" t="n">
        <v>7.5</v>
      </c>
      <c r="Y18" s="60" t="n">
        <v>7.5</v>
      </c>
      <c r="Z18" s="60" t="n">
        <v>10.5</v>
      </c>
      <c r="AA18" s="60" t="s">
        <v>83</v>
      </c>
      <c r="AB18" s="60" t="s">
        <v>83</v>
      </c>
      <c r="AC18" s="60" t="n">
        <v>7.5</v>
      </c>
      <c r="AD18" s="60" t="n">
        <v>7.5</v>
      </c>
      <c r="AE18" s="60" t="n">
        <v>7.5</v>
      </c>
      <c r="AF18" s="60" t="s">
        <v>86</v>
      </c>
      <c r="AG18" s="60" t="n">
        <v>10.5</v>
      </c>
      <c r="AH18" s="60" t="n">
        <v>7.5</v>
      </c>
      <c r="AI18" s="61" t="n">
        <f aca="false">COUNT(D18:AH18)</f>
        <v>24</v>
      </c>
      <c r="AJ18" s="62" t="n">
        <f aca="false">SUM(D18:AH18)</f>
        <v>204</v>
      </c>
      <c r="AK18" s="63" t="n">
        <f aca="false">SUMIF(D18:AH18,"&gt;"&amp;Ayarlar!$B$6)-Ayarlar!$B$6*COUNTIF(D18:AH18,"&gt;"&amp;Ayarlar!$B$6)</f>
        <v>24</v>
      </c>
      <c r="AL18" s="64" t="n">
        <f aca="false">COUNTIF(D18:AH18,"HT")</f>
        <v>6</v>
      </c>
      <c r="AM18" s="64" t="n">
        <f aca="false">COUNTIF(D18:AH18,"Yİ")</f>
        <v>0</v>
      </c>
      <c r="AN18" s="64" t="n">
        <f aca="false">COUNTIF(D18:AH18,"R")</f>
        <v>0</v>
      </c>
      <c r="AO18" s="64" t="n">
        <f aca="false">COUNTIF(D18:AH18,"Üİ")</f>
        <v>0</v>
      </c>
      <c r="AP18" s="64" t="n">
        <f aca="false">COUNTIF(D18:AH18,"D")</f>
        <v>0</v>
      </c>
      <c r="AQ18" s="61" t="n">
        <f aca="false">MIN(30,AI18+AL18+AM18+COUNTIF(D18:AH18,"RT")+COUNTIF(D18:AH18,"Mİ")+MIN(2,AN18))</f>
        <v>30</v>
      </c>
      <c r="AR18" s="65" t="str">
        <f aca="false">IF(AK18&gt;=Ayarlar!$B$8,"FM yüksek",IF(AP18&gt;0,"Devamsız",IF(AL18&lt;4,"HT eksik","")))</f>
        <v/>
      </c>
      <c r="AT18" s="69"/>
      <c r="AU18" s="66" t="s">
        <v>109</v>
      </c>
    </row>
    <row r="19" customFormat="false" ht="15" hidden="false" customHeight="false" outlineLevel="0" collapsed="false">
      <c r="A19" s="58" t="s">
        <v>110</v>
      </c>
      <c r="B19" s="59" t="s">
        <v>111</v>
      </c>
      <c r="C19" s="59" t="s">
        <v>82</v>
      </c>
      <c r="D19" s="60" t="n">
        <v>9.5</v>
      </c>
      <c r="E19" s="60" t="n">
        <v>7.5</v>
      </c>
      <c r="F19" s="60" t="n">
        <v>7.5</v>
      </c>
      <c r="G19" s="60" t="s">
        <v>83</v>
      </c>
      <c r="H19" s="60" t="n">
        <v>10.5</v>
      </c>
      <c r="I19" s="60" t="n">
        <v>7.5</v>
      </c>
      <c r="J19" s="60" t="n">
        <v>7.5</v>
      </c>
      <c r="K19" s="60" t="n">
        <v>7.5</v>
      </c>
      <c r="L19" s="60" t="n">
        <v>7.5</v>
      </c>
      <c r="M19" s="60" t="n">
        <v>7.5</v>
      </c>
      <c r="N19" s="60" t="s">
        <v>83</v>
      </c>
      <c r="O19" s="60" t="n">
        <v>9.5</v>
      </c>
      <c r="P19" s="60" t="n">
        <v>7.5</v>
      </c>
      <c r="Q19" s="60" t="n">
        <v>7.5</v>
      </c>
      <c r="R19" s="60" t="n">
        <v>7.5</v>
      </c>
      <c r="S19" s="60" t="n">
        <v>9.5</v>
      </c>
      <c r="T19" s="60" t="n">
        <v>7.5</v>
      </c>
      <c r="U19" s="60" t="s">
        <v>83</v>
      </c>
      <c r="V19" s="60" t="n">
        <v>9.5</v>
      </c>
      <c r="W19" s="60" t="n">
        <v>7.5</v>
      </c>
      <c r="X19" s="60" t="n">
        <v>7.5</v>
      </c>
      <c r="Y19" s="60" t="n">
        <v>7.5</v>
      </c>
      <c r="Z19" s="60" t="n">
        <v>7.5</v>
      </c>
      <c r="AA19" s="60" t="s">
        <v>83</v>
      </c>
      <c r="AB19" s="60" t="s">
        <v>83</v>
      </c>
      <c r="AC19" s="60" t="n">
        <v>10.5</v>
      </c>
      <c r="AD19" s="60" t="n">
        <v>7.5</v>
      </c>
      <c r="AE19" s="60" t="n">
        <v>9.5</v>
      </c>
      <c r="AF19" s="60" t="s">
        <v>86</v>
      </c>
      <c r="AG19" s="60" t="n">
        <v>10.5</v>
      </c>
      <c r="AH19" s="60" t="n">
        <v>7.5</v>
      </c>
      <c r="AI19" s="61" t="n">
        <f aca="false">COUNT(D19:AH19)</f>
        <v>25</v>
      </c>
      <c r="AJ19" s="62" t="n">
        <f aca="false">SUM(D19:AH19)</f>
        <v>206.5</v>
      </c>
      <c r="AK19" s="63" t="n">
        <f aca="false">SUMIF(D19:AH19,"&gt;"&amp;Ayarlar!$B$6)-Ayarlar!$B$6*COUNTIF(D19:AH19,"&gt;"&amp;Ayarlar!$B$6)</f>
        <v>19</v>
      </c>
      <c r="AL19" s="64" t="n">
        <f aca="false">COUNTIF(D19:AH19,"HT")</f>
        <v>5</v>
      </c>
      <c r="AM19" s="64" t="n">
        <f aca="false">COUNTIF(D19:AH19,"Yİ")</f>
        <v>0</v>
      </c>
      <c r="AN19" s="64" t="n">
        <f aca="false">COUNTIF(D19:AH19,"R")</f>
        <v>0</v>
      </c>
      <c r="AO19" s="64" t="n">
        <f aca="false">COUNTIF(D19:AH19,"Üİ")</f>
        <v>0</v>
      </c>
      <c r="AP19" s="64" t="n">
        <f aca="false">COUNTIF(D19:AH19,"D")</f>
        <v>0</v>
      </c>
      <c r="AQ19" s="61" t="n">
        <f aca="false">MIN(30,AI19+AL19+AM19+COUNTIF(D19:AH19,"RT")+COUNTIF(D19:AH19,"Mİ")+MIN(2,AN19))</f>
        <v>30</v>
      </c>
      <c r="AR19" s="65" t="str">
        <f aca="false">IF(AK19&gt;=Ayarlar!$B$8,"FM yüksek",IF(AP19&gt;0,"Devamsız",IF(AL19&lt;4,"HT eksik","")))</f>
        <v/>
      </c>
      <c r="AT19" s="70"/>
      <c r="AU19" s="66" t="s">
        <v>112</v>
      </c>
    </row>
    <row r="20" customFormat="false" ht="15" hidden="false" customHeight="false" outlineLevel="0" collapsed="false">
      <c r="A20" s="58" t="s">
        <v>113</v>
      </c>
      <c r="B20" s="59" t="s">
        <v>114</v>
      </c>
      <c r="C20" s="59" t="s">
        <v>82</v>
      </c>
      <c r="D20" s="60" t="n">
        <v>9.5</v>
      </c>
      <c r="E20" s="60" t="s">
        <v>84</v>
      </c>
      <c r="F20" s="60" t="n">
        <v>7.5</v>
      </c>
      <c r="G20" s="60" t="s">
        <v>83</v>
      </c>
      <c r="H20" s="60" t="n">
        <v>7.5</v>
      </c>
      <c r="I20" s="60" t="n">
        <v>7.5</v>
      </c>
      <c r="J20" s="60" t="n">
        <v>7.5</v>
      </c>
      <c r="K20" s="60" t="n">
        <v>7.5</v>
      </c>
      <c r="L20" s="60" t="n">
        <v>10.5</v>
      </c>
      <c r="M20" s="60" t="n">
        <v>7.5</v>
      </c>
      <c r="N20" s="60" t="s">
        <v>83</v>
      </c>
      <c r="O20" s="60" t="n">
        <v>7.5</v>
      </c>
      <c r="P20" s="60" t="n">
        <v>9.5</v>
      </c>
      <c r="Q20" s="60" t="n">
        <v>10.5</v>
      </c>
      <c r="R20" s="60" t="n">
        <v>7.5</v>
      </c>
      <c r="S20" s="60" t="n">
        <v>7.5</v>
      </c>
      <c r="T20" s="60" t="n">
        <v>7.5</v>
      </c>
      <c r="U20" s="60" t="s">
        <v>83</v>
      </c>
      <c r="V20" s="60" t="n">
        <v>10.5</v>
      </c>
      <c r="W20" s="60" t="n">
        <v>10.5</v>
      </c>
      <c r="X20" s="60" t="n">
        <v>7.5</v>
      </c>
      <c r="Y20" s="60" t="n">
        <v>7.5</v>
      </c>
      <c r="Z20" s="60" t="n">
        <v>9.5</v>
      </c>
      <c r="AA20" s="60" t="s">
        <v>84</v>
      </c>
      <c r="AB20" s="60" t="s">
        <v>83</v>
      </c>
      <c r="AC20" s="60" t="n">
        <v>7.5</v>
      </c>
      <c r="AD20" s="60" t="n">
        <v>10.5</v>
      </c>
      <c r="AE20" s="60" t="n">
        <v>7.5</v>
      </c>
      <c r="AF20" s="60" t="s">
        <v>86</v>
      </c>
      <c r="AG20" s="60" t="n">
        <v>7.5</v>
      </c>
      <c r="AH20" s="60" t="n">
        <v>7.5</v>
      </c>
      <c r="AI20" s="61" t="n">
        <f aca="false">COUNT(D20:AH20)</f>
        <v>24</v>
      </c>
      <c r="AJ20" s="62" t="n">
        <f aca="false">SUM(D20:AH20)</f>
        <v>201</v>
      </c>
      <c r="AK20" s="63" t="n">
        <f aca="false">SUMIF(D20:AH20,"&gt;"&amp;Ayarlar!$B$6)-Ayarlar!$B$6*COUNTIF(D20:AH20,"&gt;"&amp;Ayarlar!$B$6)</f>
        <v>21</v>
      </c>
      <c r="AL20" s="64" t="n">
        <f aca="false">COUNTIF(D20:AH20,"HT")</f>
        <v>4</v>
      </c>
      <c r="AM20" s="64" t="n">
        <f aca="false">COUNTIF(D20:AH20,"Yİ")</f>
        <v>2</v>
      </c>
      <c r="AN20" s="64" t="n">
        <f aca="false">COUNTIF(D20:AH20,"R")</f>
        <v>0</v>
      </c>
      <c r="AO20" s="64" t="n">
        <f aca="false">COUNTIF(D20:AH20,"Üİ")</f>
        <v>0</v>
      </c>
      <c r="AP20" s="64" t="n">
        <f aca="false">COUNTIF(D20:AH20,"D")</f>
        <v>0</v>
      </c>
      <c r="AQ20" s="61" t="n">
        <f aca="false">MIN(30,AI20+AL20+AM20+COUNTIF(D20:AH20,"RT")+COUNTIF(D20:AH20,"Mİ")+MIN(2,AN20))</f>
        <v>30</v>
      </c>
      <c r="AR20" s="65" t="str">
        <f aca="false">IF(AK20&gt;=Ayarlar!$B$8,"FM yüksek",IF(AP20&gt;0,"Devamsız",IF(AL20&lt;4,"HT eksik","")))</f>
        <v/>
      </c>
    </row>
    <row r="21" customFormat="false" ht="15" hidden="false" customHeight="false" outlineLevel="0" collapsed="false">
      <c r="A21" s="58" t="s">
        <v>115</v>
      </c>
      <c r="B21" s="59" t="s">
        <v>116</v>
      </c>
      <c r="C21" s="59" t="s">
        <v>82</v>
      </c>
      <c r="D21" s="60" t="n">
        <v>9.5</v>
      </c>
      <c r="E21" s="60" t="n">
        <v>7.5</v>
      </c>
      <c r="F21" s="60" t="s">
        <v>84</v>
      </c>
      <c r="G21" s="60" t="s">
        <v>83</v>
      </c>
      <c r="H21" s="60" t="n">
        <v>10.5</v>
      </c>
      <c r="I21" s="60" t="n">
        <v>7.5</v>
      </c>
      <c r="J21" s="60" t="n">
        <v>7.5</v>
      </c>
      <c r="K21" s="60" t="n">
        <v>10.5</v>
      </c>
      <c r="L21" s="60" t="n">
        <v>7.5</v>
      </c>
      <c r="M21" s="60" t="n">
        <v>7.5</v>
      </c>
      <c r="N21" s="60" t="s">
        <v>83</v>
      </c>
      <c r="O21" s="60" t="n">
        <v>7.5</v>
      </c>
      <c r="P21" s="60" t="n">
        <v>9.5</v>
      </c>
      <c r="Q21" s="60" t="n">
        <v>7.5</v>
      </c>
      <c r="R21" s="60" t="n">
        <v>7.5</v>
      </c>
      <c r="S21" s="60" t="n">
        <v>7.5</v>
      </c>
      <c r="T21" s="60" t="n">
        <v>7.5</v>
      </c>
      <c r="U21" s="60" t="s">
        <v>83</v>
      </c>
      <c r="V21" s="60" t="n">
        <v>7.5</v>
      </c>
      <c r="W21" s="60" t="n">
        <v>9.5</v>
      </c>
      <c r="X21" s="60" t="n">
        <v>7.5</v>
      </c>
      <c r="Y21" s="60" t="n">
        <v>10.5</v>
      </c>
      <c r="Z21" s="60" t="n">
        <v>10.5</v>
      </c>
      <c r="AA21" s="60" t="n">
        <v>7.5</v>
      </c>
      <c r="AB21" s="60" t="s">
        <v>83</v>
      </c>
      <c r="AC21" s="60" t="n">
        <v>7.5</v>
      </c>
      <c r="AD21" s="60" t="n">
        <v>7.5</v>
      </c>
      <c r="AE21" s="60" t="n">
        <v>7.5</v>
      </c>
      <c r="AF21" s="60" t="s">
        <v>86</v>
      </c>
      <c r="AG21" s="60" t="n">
        <v>7.5</v>
      </c>
      <c r="AH21" s="60" t="n">
        <v>7.5</v>
      </c>
      <c r="AI21" s="61" t="n">
        <f aca="false">COUNT(D21:AH21)</f>
        <v>25</v>
      </c>
      <c r="AJ21" s="62" t="n">
        <f aca="false">SUM(D21:AH21)</f>
        <v>205.5</v>
      </c>
      <c r="AK21" s="63" t="n">
        <f aca="false">SUMIF(D21:AH21,"&gt;"&amp;Ayarlar!$B$6)-Ayarlar!$B$6*COUNTIF(D21:AH21,"&gt;"&amp;Ayarlar!$B$6)</f>
        <v>18</v>
      </c>
      <c r="AL21" s="64" t="n">
        <f aca="false">COUNTIF(D21:AH21,"HT")</f>
        <v>4</v>
      </c>
      <c r="AM21" s="64" t="n">
        <f aca="false">COUNTIF(D21:AH21,"Yİ")</f>
        <v>1</v>
      </c>
      <c r="AN21" s="64" t="n">
        <f aca="false">COUNTIF(D21:AH21,"R")</f>
        <v>0</v>
      </c>
      <c r="AO21" s="64" t="n">
        <f aca="false">COUNTIF(D21:AH21,"Üİ")</f>
        <v>0</v>
      </c>
      <c r="AP21" s="64" t="n">
        <f aca="false">COUNTIF(D21:AH21,"D")</f>
        <v>0</v>
      </c>
      <c r="AQ21" s="61" t="n">
        <f aca="false">MIN(30,AI21+AL21+AM21+COUNTIF(D21:AH21,"RT")+COUNTIF(D21:AH21,"Mİ")+MIN(2,AN21))</f>
        <v>30</v>
      </c>
      <c r="AR21" s="65" t="str">
        <f aca="false">IF(AK21&gt;=Ayarlar!$B$8,"FM yüksek",IF(AP21&gt;0,"Devamsız",IF(AL21&lt;4,"HT eksik","")))</f>
        <v/>
      </c>
    </row>
    <row r="22" customFormat="false" ht="15" hidden="false" customHeight="false" outlineLevel="0" collapsed="false">
      <c r="A22" s="58" t="s">
        <v>117</v>
      </c>
      <c r="B22" s="59" t="s">
        <v>118</v>
      </c>
      <c r="C22" s="59" t="s">
        <v>82</v>
      </c>
      <c r="D22" s="60" t="n">
        <v>7.5</v>
      </c>
      <c r="E22" s="60" t="n">
        <v>7.5</v>
      </c>
      <c r="F22" s="60" t="n">
        <v>7.5</v>
      </c>
      <c r="G22" s="60" t="s">
        <v>83</v>
      </c>
      <c r="H22" s="60" t="n">
        <v>7.5</v>
      </c>
      <c r="I22" s="60" t="n">
        <v>7.5</v>
      </c>
      <c r="J22" s="60" t="n">
        <v>7.5</v>
      </c>
      <c r="K22" s="60" t="n">
        <v>7.5</v>
      </c>
      <c r="L22" s="60" t="n">
        <v>7.5</v>
      </c>
      <c r="M22" s="60" t="s">
        <v>83</v>
      </c>
      <c r="N22" s="60" t="s">
        <v>83</v>
      </c>
      <c r="O22" s="60" t="n">
        <v>9.5</v>
      </c>
      <c r="P22" s="60" t="n">
        <v>10.5</v>
      </c>
      <c r="Q22" s="60" t="n">
        <v>7.5</v>
      </c>
      <c r="R22" s="60" t="n">
        <v>7.5</v>
      </c>
      <c r="S22" s="60" t="n">
        <v>9.5</v>
      </c>
      <c r="T22" s="60" t="n">
        <v>7.5</v>
      </c>
      <c r="U22" s="60" t="s">
        <v>83</v>
      </c>
      <c r="V22" s="60" t="n">
        <v>7.5</v>
      </c>
      <c r="W22" s="60" t="n">
        <v>7.5</v>
      </c>
      <c r="X22" s="60" t="n">
        <v>7.5</v>
      </c>
      <c r="Y22" s="60" t="n">
        <v>7.5</v>
      </c>
      <c r="Z22" s="60" t="n">
        <v>7.5</v>
      </c>
      <c r="AA22" s="60" t="s">
        <v>83</v>
      </c>
      <c r="AB22" s="60" t="s">
        <v>83</v>
      </c>
      <c r="AC22" s="60" t="n">
        <v>7.5</v>
      </c>
      <c r="AD22" s="60" t="n">
        <v>7.5</v>
      </c>
      <c r="AE22" s="60" t="n">
        <v>7.5</v>
      </c>
      <c r="AF22" s="60" t="s">
        <v>86</v>
      </c>
      <c r="AG22" s="60" t="n">
        <v>7.5</v>
      </c>
      <c r="AH22" s="60" t="n">
        <v>7.5</v>
      </c>
      <c r="AI22" s="61" t="n">
        <f aca="false">COUNT(D22:AH22)</f>
        <v>24</v>
      </c>
      <c r="AJ22" s="62" t="n">
        <f aca="false">SUM(D22:AH22)</f>
        <v>187</v>
      </c>
      <c r="AK22" s="63" t="n">
        <f aca="false">SUMIF(D22:AH22,"&gt;"&amp;Ayarlar!$B$6)-Ayarlar!$B$6*COUNTIF(D22:AH22,"&gt;"&amp;Ayarlar!$B$6)</f>
        <v>7</v>
      </c>
      <c r="AL22" s="64" t="n">
        <f aca="false">COUNTIF(D22:AH22,"HT")</f>
        <v>6</v>
      </c>
      <c r="AM22" s="64" t="n">
        <f aca="false">COUNTIF(D22:AH22,"Yİ")</f>
        <v>0</v>
      </c>
      <c r="AN22" s="64" t="n">
        <f aca="false">COUNTIF(D22:AH22,"R")</f>
        <v>0</v>
      </c>
      <c r="AO22" s="64" t="n">
        <f aca="false">COUNTIF(D22:AH22,"Üİ")</f>
        <v>0</v>
      </c>
      <c r="AP22" s="64" t="n">
        <f aca="false">COUNTIF(D22:AH22,"D")</f>
        <v>0</v>
      </c>
      <c r="AQ22" s="61" t="n">
        <f aca="false">MIN(30,AI22+AL22+AM22+COUNTIF(D22:AH22,"RT")+COUNTIF(D22:AH22,"Mİ")+MIN(2,AN22))</f>
        <v>30</v>
      </c>
      <c r="AR22" s="65" t="str">
        <f aca="false">IF(AK22&gt;=Ayarlar!$B$8,"FM yüksek",IF(AP22&gt;0,"Devamsız",IF(AL22&lt;4,"HT eksik","")))</f>
        <v/>
      </c>
    </row>
    <row r="23" customFormat="false" ht="15" hidden="false" customHeight="false" outlineLevel="0" collapsed="false">
      <c r="A23" s="58" t="s">
        <v>119</v>
      </c>
      <c r="B23" s="59" t="s">
        <v>120</v>
      </c>
      <c r="C23" s="59" t="s">
        <v>82</v>
      </c>
      <c r="D23" s="60" t="s">
        <v>85</v>
      </c>
      <c r="E23" s="60" t="n">
        <v>10.5</v>
      </c>
      <c r="F23" s="60" t="n">
        <v>7.5</v>
      </c>
      <c r="G23" s="60" t="s">
        <v>83</v>
      </c>
      <c r="H23" s="60" t="n">
        <v>7.5</v>
      </c>
      <c r="I23" s="60" t="n">
        <v>7.5</v>
      </c>
      <c r="J23" s="60" t="n">
        <v>7.5</v>
      </c>
      <c r="K23" s="60" t="n">
        <v>7.5</v>
      </c>
      <c r="L23" s="60" t="n">
        <v>7.5</v>
      </c>
      <c r="M23" s="60" t="s">
        <v>83</v>
      </c>
      <c r="N23" s="60" t="s">
        <v>83</v>
      </c>
      <c r="O23" s="60" t="n">
        <v>10.5</v>
      </c>
      <c r="P23" s="60" t="n">
        <v>9.5</v>
      </c>
      <c r="Q23" s="60" t="n">
        <v>7.5</v>
      </c>
      <c r="R23" s="60" t="n">
        <v>7.5</v>
      </c>
      <c r="S23" s="60" t="n">
        <v>10.5</v>
      </c>
      <c r="T23" s="60" t="n">
        <v>7.5</v>
      </c>
      <c r="U23" s="60" t="s">
        <v>83</v>
      </c>
      <c r="V23" s="60" t="n">
        <v>10.5</v>
      </c>
      <c r="W23" s="60" t="n">
        <v>9.5</v>
      </c>
      <c r="X23" s="60" t="n">
        <v>7.5</v>
      </c>
      <c r="Y23" s="60" t="n">
        <v>9.5</v>
      </c>
      <c r="Z23" s="60" t="n">
        <v>10.5</v>
      </c>
      <c r="AA23" s="60" t="s">
        <v>83</v>
      </c>
      <c r="AB23" s="60" t="s">
        <v>83</v>
      </c>
      <c r="AC23" s="60" t="n">
        <v>7.5</v>
      </c>
      <c r="AD23" s="60" t="n">
        <v>7.5</v>
      </c>
      <c r="AE23" s="60" t="n">
        <v>7.5</v>
      </c>
      <c r="AF23" s="60" t="s">
        <v>86</v>
      </c>
      <c r="AG23" s="60" t="n">
        <v>7.5</v>
      </c>
      <c r="AH23" s="60" t="n">
        <v>7.5</v>
      </c>
      <c r="AI23" s="61" t="n">
        <f aca="false">COUNT(D23:AH23)</f>
        <v>23</v>
      </c>
      <c r="AJ23" s="62" t="n">
        <f aca="false">SUM(D23:AH23)</f>
        <v>193.5</v>
      </c>
      <c r="AK23" s="63" t="n">
        <f aca="false">SUMIF(D23:AH23,"&gt;"&amp;Ayarlar!$B$6)-Ayarlar!$B$6*COUNTIF(D23:AH23,"&gt;"&amp;Ayarlar!$B$6)</f>
        <v>21</v>
      </c>
      <c r="AL23" s="64" t="n">
        <f aca="false">COUNTIF(D23:AH23,"HT")</f>
        <v>6</v>
      </c>
      <c r="AM23" s="64" t="n">
        <f aca="false">COUNTIF(D23:AH23,"Yİ")</f>
        <v>0</v>
      </c>
      <c r="AN23" s="64" t="n">
        <f aca="false">COUNTIF(D23:AH23,"R")</f>
        <v>0</v>
      </c>
      <c r="AO23" s="64" t="n">
        <f aca="false">COUNTIF(D23:AH23,"Üİ")</f>
        <v>0</v>
      </c>
      <c r="AP23" s="64" t="n">
        <f aca="false">COUNTIF(D23:AH23,"D")</f>
        <v>1</v>
      </c>
      <c r="AQ23" s="61" t="n">
        <f aca="false">MIN(30,AI23+AL23+AM23+COUNTIF(D23:AH23,"RT")+COUNTIF(D23:AH23,"Mİ")+MIN(2,AN23))</f>
        <v>30</v>
      </c>
      <c r="AR23" s="65" t="str">
        <f aca="false">IF(AK23&gt;=Ayarlar!$B$8,"FM yüksek",IF(AP23&gt;0,"Devamsız",IF(AL23&lt;4,"HT eksik","")))</f>
        <v>Devamsız</v>
      </c>
    </row>
    <row r="24" customFormat="false" ht="15" hidden="false" customHeight="false" outlineLevel="0" collapsed="false">
      <c r="A24" s="58" t="s">
        <v>121</v>
      </c>
      <c r="B24" s="59" t="s">
        <v>122</v>
      </c>
      <c r="C24" s="59" t="s">
        <v>82</v>
      </c>
      <c r="D24" s="60" t="n">
        <v>7.5</v>
      </c>
      <c r="E24" s="60" t="n">
        <v>7.5</v>
      </c>
      <c r="F24" s="60" t="n">
        <v>7.5</v>
      </c>
      <c r="G24" s="60" t="s">
        <v>83</v>
      </c>
      <c r="H24" s="60" t="n">
        <v>7.5</v>
      </c>
      <c r="I24" s="60" t="n">
        <v>7.5</v>
      </c>
      <c r="J24" s="60" t="n">
        <v>9.5</v>
      </c>
      <c r="K24" s="60" t="n">
        <v>9.5</v>
      </c>
      <c r="L24" s="60" t="n">
        <v>7.5</v>
      </c>
      <c r="M24" s="60" t="s">
        <v>83</v>
      </c>
      <c r="N24" s="60" t="s">
        <v>83</v>
      </c>
      <c r="O24" s="60" t="n">
        <v>7.5</v>
      </c>
      <c r="P24" s="60" t="n">
        <v>7.5</v>
      </c>
      <c r="Q24" s="60" t="n">
        <v>7.5</v>
      </c>
      <c r="R24" s="60" t="s">
        <v>84</v>
      </c>
      <c r="S24" s="60" t="n">
        <v>9.5</v>
      </c>
      <c r="T24" s="60" t="n">
        <v>7.5</v>
      </c>
      <c r="U24" s="60" t="s">
        <v>83</v>
      </c>
      <c r="V24" s="60" t="n">
        <v>7.5</v>
      </c>
      <c r="W24" s="60" t="n">
        <v>7.5</v>
      </c>
      <c r="X24" s="60" t="n">
        <v>7.5</v>
      </c>
      <c r="Y24" s="60" t="n">
        <v>7.5</v>
      </c>
      <c r="Z24" s="60" t="n">
        <v>7.5</v>
      </c>
      <c r="AA24" s="60" t="n">
        <v>7.5</v>
      </c>
      <c r="AB24" s="60" t="s">
        <v>83</v>
      </c>
      <c r="AC24" s="60" t="n">
        <v>7.5</v>
      </c>
      <c r="AD24" s="60" t="n">
        <v>7.5</v>
      </c>
      <c r="AE24" s="60" t="n">
        <v>9.5</v>
      </c>
      <c r="AF24" s="60" t="s">
        <v>86</v>
      </c>
      <c r="AG24" s="60" t="n">
        <v>7.5</v>
      </c>
      <c r="AH24" s="60" t="n">
        <v>7.5</v>
      </c>
      <c r="AI24" s="61" t="n">
        <f aca="false">COUNT(D24:AH24)</f>
        <v>24</v>
      </c>
      <c r="AJ24" s="62" t="n">
        <f aca="false">SUM(D24:AH24)</f>
        <v>188</v>
      </c>
      <c r="AK24" s="63" t="n">
        <f aca="false">SUMIF(D24:AH24,"&gt;"&amp;Ayarlar!$B$6)-Ayarlar!$B$6*COUNTIF(D24:AH24,"&gt;"&amp;Ayarlar!$B$6)</f>
        <v>8</v>
      </c>
      <c r="AL24" s="64" t="n">
        <f aca="false">COUNTIF(D24:AH24,"HT")</f>
        <v>5</v>
      </c>
      <c r="AM24" s="64" t="n">
        <f aca="false">COUNTIF(D24:AH24,"Yİ")</f>
        <v>1</v>
      </c>
      <c r="AN24" s="64" t="n">
        <f aca="false">COUNTIF(D24:AH24,"R")</f>
        <v>0</v>
      </c>
      <c r="AO24" s="64" t="n">
        <f aca="false">COUNTIF(D24:AH24,"Üİ")</f>
        <v>0</v>
      </c>
      <c r="AP24" s="64" t="n">
        <f aca="false">COUNTIF(D24:AH24,"D")</f>
        <v>0</v>
      </c>
      <c r="AQ24" s="61" t="n">
        <f aca="false">MIN(30,AI24+AL24+AM24+COUNTIF(D24:AH24,"RT")+COUNTIF(D24:AH24,"Mİ")+MIN(2,AN24))</f>
        <v>30</v>
      </c>
      <c r="AR24" s="65" t="str">
        <f aca="false">IF(AK24&gt;=Ayarlar!$B$8,"FM yüksek",IF(AP24&gt;0,"Devamsız",IF(AL24&lt;4,"HT eksik","")))</f>
        <v/>
      </c>
    </row>
    <row r="25" customFormat="false" ht="15" hidden="false" customHeight="false" outlineLevel="0" collapsed="false">
      <c r="A25" s="58" t="s">
        <v>123</v>
      </c>
      <c r="B25" s="59" t="s">
        <v>124</v>
      </c>
      <c r="C25" s="59" t="s">
        <v>82</v>
      </c>
      <c r="D25" s="60" t="n">
        <v>7.5</v>
      </c>
      <c r="E25" s="60" t="n">
        <v>7.5</v>
      </c>
      <c r="F25" s="60" t="n">
        <v>7.5</v>
      </c>
      <c r="G25" s="60" t="s">
        <v>83</v>
      </c>
      <c r="H25" s="60" t="n">
        <v>7.5</v>
      </c>
      <c r="I25" s="60" t="n">
        <v>7.5</v>
      </c>
      <c r="J25" s="60" t="n">
        <v>7.5</v>
      </c>
      <c r="K25" s="60" t="n">
        <v>7.5</v>
      </c>
      <c r="L25" s="60" t="n">
        <v>7.5</v>
      </c>
      <c r="M25" s="60" t="n">
        <v>7.5</v>
      </c>
      <c r="N25" s="60" t="s">
        <v>83</v>
      </c>
      <c r="O25" s="60" t="n">
        <v>7.5</v>
      </c>
      <c r="P25" s="60" t="n">
        <v>10.5</v>
      </c>
      <c r="Q25" s="60" t="n">
        <v>10.5</v>
      </c>
      <c r="R25" s="60" t="n">
        <v>10.5</v>
      </c>
      <c r="S25" s="60" t="n">
        <v>10.5</v>
      </c>
      <c r="T25" s="60" t="n">
        <v>7.5</v>
      </c>
      <c r="U25" s="60" t="s">
        <v>83</v>
      </c>
      <c r="V25" s="60" t="n">
        <v>9.5</v>
      </c>
      <c r="W25" s="60" t="n">
        <v>7.5</v>
      </c>
      <c r="X25" s="60" t="n">
        <v>9.5</v>
      </c>
      <c r="Y25" s="60" t="n">
        <v>9.5</v>
      </c>
      <c r="Z25" s="60" t="n">
        <v>7.5</v>
      </c>
      <c r="AA25" s="60" t="n">
        <v>7.5</v>
      </c>
      <c r="AB25" s="60" t="s">
        <v>83</v>
      </c>
      <c r="AC25" s="60" t="s">
        <v>90</v>
      </c>
      <c r="AD25" s="60" t="n">
        <v>10.5</v>
      </c>
      <c r="AE25" s="60" t="n">
        <v>10.5</v>
      </c>
      <c r="AF25" s="60" t="s">
        <v>86</v>
      </c>
      <c r="AG25" s="60" t="n">
        <v>7.5</v>
      </c>
      <c r="AH25" s="60" t="n">
        <v>7.5</v>
      </c>
      <c r="AI25" s="61" t="n">
        <f aca="false">COUNT(D25:AH25)</f>
        <v>25</v>
      </c>
      <c r="AJ25" s="62" t="n">
        <f aca="false">SUM(D25:AH25)</f>
        <v>211.5</v>
      </c>
      <c r="AK25" s="63" t="n">
        <f aca="false">SUMIF(D25:AH25,"&gt;"&amp;Ayarlar!$B$6)-Ayarlar!$B$6*COUNTIF(D25:AH25,"&gt;"&amp;Ayarlar!$B$6)</f>
        <v>24</v>
      </c>
      <c r="AL25" s="64" t="n">
        <f aca="false">COUNTIF(D25:AH25,"HT")</f>
        <v>4</v>
      </c>
      <c r="AM25" s="64" t="n">
        <f aca="false">COUNTIF(D25:AH25,"Yİ")</f>
        <v>0</v>
      </c>
      <c r="AN25" s="64" t="n">
        <f aca="false">COUNTIF(D25:AH25,"R")</f>
        <v>1</v>
      </c>
      <c r="AO25" s="64" t="n">
        <f aca="false">COUNTIF(D25:AH25,"Üİ")</f>
        <v>0</v>
      </c>
      <c r="AP25" s="64" t="n">
        <f aca="false">COUNTIF(D25:AH25,"D")</f>
        <v>0</v>
      </c>
      <c r="AQ25" s="61" t="n">
        <f aca="false">MIN(30,AI25+AL25+AM25+COUNTIF(D25:AH25,"RT")+COUNTIF(D25:AH25,"Mİ")+MIN(2,AN25))</f>
        <v>30</v>
      </c>
      <c r="AR25" s="65" t="str">
        <f aca="false">IF(AK25&gt;=Ayarlar!$B$8,"FM yüksek",IF(AP25&gt;0,"Devamsız",IF(AL25&lt;4,"HT eksik","")))</f>
        <v/>
      </c>
    </row>
    <row r="26" customFormat="false" ht="15" hidden="false" customHeight="false" outlineLevel="0" collapsed="false">
      <c r="A26" s="58" t="s">
        <v>125</v>
      </c>
      <c r="B26" s="59" t="s">
        <v>126</v>
      </c>
      <c r="C26" s="59" t="s">
        <v>82</v>
      </c>
      <c r="D26" s="60" t="n">
        <v>9.5</v>
      </c>
      <c r="E26" s="60" t="n">
        <v>7.5</v>
      </c>
      <c r="F26" s="60" t="s">
        <v>83</v>
      </c>
      <c r="G26" s="60" t="s">
        <v>83</v>
      </c>
      <c r="H26" s="60" t="n">
        <v>9.5</v>
      </c>
      <c r="I26" s="60" t="n">
        <v>10.5</v>
      </c>
      <c r="J26" s="60" t="n">
        <v>10.5</v>
      </c>
      <c r="K26" s="60" t="n">
        <v>7.5</v>
      </c>
      <c r="L26" s="60" t="n">
        <v>9.5</v>
      </c>
      <c r="M26" s="60" t="s">
        <v>83</v>
      </c>
      <c r="N26" s="60" t="s">
        <v>83</v>
      </c>
      <c r="O26" s="60" t="n">
        <v>7.5</v>
      </c>
      <c r="P26" s="60" t="n">
        <v>7.5</v>
      </c>
      <c r="Q26" s="60" t="n">
        <v>9.5</v>
      </c>
      <c r="R26" s="60" t="n">
        <v>10.5</v>
      </c>
      <c r="S26" s="60" t="n">
        <v>7.5</v>
      </c>
      <c r="T26" s="60" t="n">
        <v>7.5</v>
      </c>
      <c r="U26" s="60" t="s">
        <v>83</v>
      </c>
      <c r="V26" s="60" t="n">
        <v>7.5</v>
      </c>
      <c r="W26" s="60" t="n">
        <v>7.5</v>
      </c>
      <c r="X26" s="60" t="n">
        <v>7.5</v>
      </c>
      <c r="Y26" s="60" t="n">
        <v>10.5</v>
      </c>
      <c r="Z26" s="60" t="n">
        <v>7.5</v>
      </c>
      <c r="AA26" s="60" t="n">
        <v>7.5</v>
      </c>
      <c r="AB26" s="60" t="s">
        <v>83</v>
      </c>
      <c r="AC26" s="60" t="n">
        <v>7.5</v>
      </c>
      <c r="AD26" s="60" t="n">
        <v>7.5</v>
      </c>
      <c r="AE26" s="60" t="n">
        <v>7.5</v>
      </c>
      <c r="AF26" s="60" t="s">
        <v>86</v>
      </c>
      <c r="AG26" s="60" t="n">
        <v>7.5</v>
      </c>
      <c r="AH26" s="60" t="s">
        <v>83</v>
      </c>
      <c r="AI26" s="61" t="n">
        <f aca="false">COUNT(D26:AH26)</f>
        <v>23</v>
      </c>
      <c r="AJ26" s="62" t="n">
        <f aca="false">SUM(D26:AH26)</f>
        <v>192.5</v>
      </c>
      <c r="AK26" s="63" t="n">
        <f aca="false">SUMIF(D26:AH26,"&gt;"&amp;Ayarlar!$B$6)-Ayarlar!$B$6*COUNTIF(D26:AH26,"&gt;"&amp;Ayarlar!$B$6)</f>
        <v>20</v>
      </c>
      <c r="AL26" s="64" t="n">
        <f aca="false">COUNTIF(D26:AH26,"HT")</f>
        <v>7</v>
      </c>
      <c r="AM26" s="64" t="n">
        <f aca="false">COUNTIF(D26:AH26,"Yİ")</f>
        <v>0</v>
      </c>
      <c r="AN26" s="64" t="n">
        <f aca="false">COUNTIF(D26:AH26,"R")</f>
        <v>0</v>
      </c>
      <c r="AO26" s="64" t="n">
        <f aca="false">COUNTIF(D26:AH26,"Üİ")</f>
        <v>0</v>
      </c>
      <c r="AP26" s="64" t="n">
        <f aca="false">COUNTIF(D26:AH26,"D")</f>
        <v>0</v>
      </c>
      <c r="AQ26" s="61" t="n">
        <f aca="false">MIN(30,AI26+AL26+AM26+COUNTIF(D26:AH26,"RT")+COUNTIF(D26:AH26,"Mİ")+MIN(2,AN26))</f>
        <v>30</v>
      </c>
      <c r="AR26" s="65" t="str">
        <f aca="false">IF(AK26&gt;=Ayarlar!$B$8,"FM yüksek",IF(AP26&gt;0,"Devamsız",IF(AL26&lt;4,"HT eksik","")))</f>
        <v/>
      </c>
    </row>
    <row r="27" customFormat="false" ht="15" hidden="false" customHeight="false" outlineLevel="0" collapsed="false">
      <c r="A27" s="58" t="s">
        <v>127</v>
      </c>
      <c r="B27" s="59" t="s">
        <v>128</v>
      </c>
      <c r="C27" s="59" t="s">
        <v>82</v>
      </c>
      <c r="D27" s="60" t="n">
        <v>7.5</v>
      </c>
      <c r="E27" s="60" t="n">
        <v>10.5</v>
      </c>
      <c r="F27" s="60" t="n">
        <v>7.5</v>
      </c>
      <c r="G27" s="60" t="s">
        <v>83</v>
      </c>
      <c r="H27" s="60" t="n">
        <v>7.5</v>
      </c>
      <c r="I27" s="60" t="n">
        <v>7.5</v>
      </c>
      <c r="J27" s="60" t="n">
        <v>7.5</v>
      </c>
      <c r="K27" s="60" t="n">
        <v>7.5</v>
      </c>
      <c r="L27" s="60" t="n">
        <v>7.5</v>
      </c>
      <c r="M27" s="60" t="n">
        <v>7.5</v>
      </c>
      <c r="N27" s="60" t="s">
        <v>83</v>
      </c>
      <c r="O27" s="60" t="n">
        <v>7.5</v>
      </c>
      <c r="P27" s="60" t="s">
        <v>90</v>
      </c>
      <c r="Q27" s="60" t="n">
        <v>7.5</v>
      </c>
      <c r="R27" s="60" t="n">
        <v>7.5</v>
      </c>
      <c r="S27" s="60" t="n">
        <v>10.5</v>
      </c>
      <c r="T27" s="60" t="n">
        <v>7.5</v>
      </c>
      <c r="U27" s="60" t="s">
        <v>83</v>
      </c>
      <c r="V27" s="60" t="n">
        <v>7.5</v>
      </c>
      <c r="W27" s="60" t="n">
        <v>10.5</v>
      </c>
      <c r="X27" s="60" t="n">
        <v>7.5</v>
      </c>
      <c r="Y27" s="60" t="n">
        <v>7.5</v>
      </c>
      <c r="Z27" s="60" t="n">
        <v>7.5</v>
      </c>
      <c r="AA27" s="60" t="s">
        <v>83</v>
      </c>
      <c r="AB27" s="60" t="s">
        <v>83</v>
      </c>
      <c r="AC27" s="60" t="n">
        <v>10.5</v>
      </c>
      <c r="AD27" s="60" t="n">
        <v>7.5</v>
      </c>
      <c r="AE27" s="60" t="n">
        <v>9.5</v>
      </c>
      <c r="AF27" s="60" t="s">
        <v>86</v>
      </c>
      <c r="AG27" s="60" t="n">
        <v>10.5</v>
      </c>
      <c r="AH27" s="60" t="s">
        <v>83</v>
      </c>
      <c r="AI27" s="61" t="n">
        <f aca="false">COUNT(D27:AH27)</f>
        <v>23</v>
      </c>
      <c r="AJ27" s="62" t="n">
        <f aca="false">SUM(D27:AH27)</f>
        <v>189.5</v>
      </c>
      <c r="AK27" s="63" t="n">
        <f aca="false">SUMIF(D27:AH27,"&gt;"&amp;Ayarlar!$B$6)-Ayarlar!$B$6*COUNTIF(D27:AH27,"&gt;"&amp;Ayarlar!$B$6)</f>
        <v>17</v>
      </c>
      <c r="AL27" s="64" t="n">
        <f aca="false">COUNTIF(D27:AH27,"HT")</f>
        <v>6</v>
      </c>
      <c r="AM27" s="64" t="n">
        <f aca="false">COUNTIF(D27:AH27,"Yİ")</f>
        <v>0</v>
      </c>
      <c r="AN27" s="64" t="n">
        <f aca="false">COUNTIF(D27:AH27,"R")</f>
        <v>1</v>
      </c>
      <c r="AO27" s="64" t="n">
        <f aca="false">COUNTIF(D27:AH27,"Üİ")</f>
        <v>0</v>
      </c>
      <c r="AP27" s="64" t="n">
        <f aca="false">COUNTIF(D27:AH27,"D")</f>
        <v>0</v>
      </c>
      <c r="AQ27" s="61" t="n">
        <f aca="false">MIN(30,AI27+AL27+AM27+COUNTIF(D27:AH27,"RT")+COUNTIF(D27:AH27,"Mİ")+MIN(2,AN27))</f>
        <v>30</v>
      </c>
      <c r="AR27" s="65" t="str">
        <f aca="false">IF(AK27&gt;=Ayarlar!$B$8,"FM yüksek",IF(AP27&gt;0,"Devamsız",IF(AL27&lt;4,"HT eksik","")))</f>
        <v/>
      </c>
    </row>
    <row r="28" customFormat="false" ht="15" hidden="false" customHeight="false" outlineLevel="0" collapsed="false">
      <c r="A28" s="58" t="s">
        <v>129</v>
      </c>
      <c r="B28" s="59" t="s">
        <v>130</v>
      </c>
      <c r="C28" s="59" t="s">
        <v>82</v>
      </c>
      <c r="D28" s="60" t="n">
        <v>10.5</v>
      </c>
      <c r="E28" s="60" t="n">
        <v>9.5</v>
      </c>
      <c r="F28" s="60" t="n">
        <v>7.5</v>
      </c>
      <c r="G28" s="60" t="s">
        <v>83</v>
      </c>
      <c r="H28" s="60" t="n">
        <v>7.5</v>
      </c>
      <c r="I28" s="60" t="n">
        <v>7.5</v>
      </c>
      <c r="J28" s="60" t="n">
        <v>10.5</v>
      </c>
      <c r="K28" s="60" t="n">
        <v>10.5</v>
      </c>
      <c r="L28" s="60" t="n">
        <v>9.5</v>
      </c>
      <c r="M28" s="60" t="n">
        <v>7.5</v>
      </c>
      <c r="N28" s="60" t="s">
        <v>83</v>
      </c>
      <c r="O28" s="60" t="n">
        <v>7.5</v>
      </c>
      <c r="P28" s="60" t="n">
        <v>10.5</v>
      </c>
      <c r="Q28" s="60" t="n">
        <v>7.5</v>
      </c>
      <c r="R28" s="60" t="n">
        <v>7.5</v>
      </c>
      <c r="S28" s="60" t="n">
        <v>7.5</v>
      </c>
      <c r="T28" s="60" t="n">
        <v>7.5</v>
      </c>
      <c r="U28" s="60" t="s">
        <v>83</v>
      </c>
      <c r="V28" s="60" t="n">
        <v>7.5</v>
      </c>
      <c r="W28" s="60" t="n">
        <v>7.5</v>
      </c>
      <c r="X28" s="60" t="n">
        <v>10.5</v>
      </c>
      <c r="Y28" s="60" t="n">
        <v>7.5</v>
      </c>
      <c r="Z28" s="60" t="n">
        <v>7.5</v>
      </c>
      <c r="AA28" s="60" t="n">
        <v>7.5</v>
      </c>
      <c r="AB28" s="60" t="s">
        <v>83</v>
      </c>
      <c r="AC28" s="60" t="n">
        <v>10.5</v>
      </c>
      <c r="AD28" s="60" t="n">
        <v>10.5</v>
      </c>
      <c r="AE28" s="60" t="n">
        <v>7.5</v>
      </c>
      <c r="AF28" s="60" t="s">
        <v>86</v>
      </c>
      <c r="AG28" s="60" t="n">
        <v>7.5</v>
      </c>
      <c r="AH28" s="60" t="n">
        <v>7.5</v>
      </c>
      <c r="AI28" s="61" t="n">
        <f aca="false">COUNT(D28:AH28)</f>
        <v>26</v>
      </c>
      <c r="AJ28" s="62" t="n">
        <f aca="false">SUM(D28:AH28)</f>
        <v>220</v>
      </c>
      <c r="AK28" s="63" t="n">
        <f aca="false">SUMIF(D28:AH28,"&gt;"&amp;Ayarlar!$B$6)-Ayarlar!$B$6*COUNTIF(D28:AH28,"&gt;"&amp;Ayarlar!$B$6)</f>
        <v>25</v>
      </c>
      <c r="AL28" s="64" t="n">
        <f aca="false">COUNTIF(D28:AH28,"HT")</f>
        <v>4</v>
      </c>
      <c r="AM28" s="64" t="n">
        <f aca="false">COUNTIF(D28:AH28,"Yİ")</f>
        <v>0</v>
      </c>
      <c r="AN28" s="64" t="n">
        <f aca="false">COUNTIF(D28:AH28,"R")</f>
        <v>0</v>
      </c>
      <c r="AO28" s="64" t="n">
        <f aca="false">COUNTIF(D28:AH28,"Üİ")</f>
        <v>0</v>
      </c>
      <c r="AP28" s="64" t="n">
        <f aca="false">COUNTIF(D28:AH28,"D")</f>
        <v>0</v>
      </c>
      <c r="AQ28" s="61" t="n">
        <f aca="false">MIN(30,AI28+AL28+AM28+COUNTIF(D28:AH28,"RT")+COUNTIF(D28:AH28,"Mİ")+MIN(2,AN28))</f>
        <v>30</v>
      </c>
      <c r="AR28" s="65" t="str">
        <f aca="false">IF(AK28&gt;=Ayarlar!$B$8,"FM yüksek",IF(AP28&gt;0,"Devamsız",IF(AL28&lt;4,"HT eksik","")))</f>
        <v/>
      </c>
    </row>
    <row r="29" customFormat="false" ht="15" hidden="false" customHeight="false" outlineLevel="0" collapsed="false">
      <c r="A29" s="58" t="s">
        <v>131</v>
      </c>
      <c r="B29" s="59" t="s">
        <v>132</v>
      </c>
      <c r="C29" s="59" t="s">
        <v>82</v>
      </c>
      <c r="D29" s="60" t="n">
        <v>9.5</v>
      </c>
      <c r="E29" s="60" t="s">
        <v>85</v>
      </c>
      <c r="F29" s="60" t="n">
        <v>7.5</v>
      </c>
      <c r="G29" s="60" t="s">
        <v>83</v>
      </c>
      <c r="H29" s="60" t="n">
        <v>7.5</v>
      </c>
      <c r="I29" s="60" t="n">
        <v>10.5</v>
      </c>
      <c r="J29" s="60" t="n">
        <v>7.5</v>
      </c>
      <c r="K29" s="60" t="n">
        <v>9.5</v>
      </c>
      <c r="L29" s="60" t="n">
        <v>7.5</v>
      </c>
      <c r="M29" s="60" t="n">
        <v>7.5</v>
      </c>
      <c r="N29" s="60" t="s">
        <v>83</v>
      </c>
      <c r="O29" s="60" t="n">
        <v>7.5</v>
      </c>
      <c r="P29" s="60" t="n">
        <v>7.5</v>
      </c>
      <c r="Q29" s="60" t="n">
        <v>7.5</v>
      </c>
      <c r="R29" s="60" t="n">
        <v>7.5</v>
      </c>
      <c r="S29" s="60" t="n">
        <v>7.5</v>
      </c>
      <c r="T29" s="60" t="s">
        <v>83</v>
      </c>
      <c r="U29" s="60" t="s">
        <v>83</v>
      </c>
      <c r="V29" s="60" t="n">
        <v>10.5</v>
      </c>
      <c r="W29" s="60" t="n">
        <v>7.5</v>
      </c>
      <c r="X29" s="60" t="n">
        <v>7.5</v>
      </c>
      <c r="Y29" s="60" t="n">
        <v>9.5</v>
      </c>
      <c r="Z29" s="60" t="n">
        <v>7.5</v>
      </c>
      <c r="AA29" s="60" t="s">
        <v>83</v>
      </c>
      <c r="AB29" s="60" t="s">
        <v>83</v>
      </c>
      <c r="AC29" s="60" t="n">
        <v>7.5</v>
      </c>
      <c r="AD29" s="60" t="n">
        <v>9.5</v>
      </c>
      <c r="AE29" s="60" t="n">
        <v>9.5</v>
      </c>
      <c r="AF29" s="60" t="s">
        <v>86</v>
      </c>
      <c r="AG29" s="60" t="n">
        <v>7.5</v>
      </c>
      <c r="AH29" s="60" t="n">
        <v>7.5</v>
      </c>
      <c r="AI29" s="61" t="n">
        <f aca="false">COUNT(D29:AH29)</f>
        <v>23</v>
      </c>
      <c r="AJ29" s="62" t="n">
        <f aca="false">SUM(D29:AH29)</f>
        <v>188.5</v>
      </c>
      <c r="AK29" s="63" t="n">
        <f aca="false">SUMIF(D29:AH29,"&gt;"&amp;Ayarlar!$B$6)-Ayarlar!$B$6*COUNTIF(D29:AH29,"&gt;"&amp;Ayarlar!$B$6)</f>
        <v>16</v>
      </c>
      <c r="AL29" s="64" t="n">
        <f aca="false">COUNTIF(D29:AH29,"HT")</f>
        <v>6</v>
      </c>
      <c r="AM29" s="64" t="n">
        <f aca="false">COUNTIF(D29:AH29,"Yİ")</f>
        <v>0</v>
      </c>
      <c r="AN29" s="64" t="n">
        <f aca="false">COUNTIF(D29:AH29,"R")</f>
        <v>0</v>
      </c>
      <c r="AO29" s="64" t="n">
        <f aca="false">COUNTIF(D29:AH29,"Üİ")</f>
        <v>0</v>
      </c>
      <c r="AP29" s="64" t="n">
        <f aca="false">COUNTIF(D29:AH29,"D")</f>
        <v>1</v>
      </c>
      <c r="AQ29" s="61" t="n">
        <f aca="false">MIN(30,AI29+AL29+AM29+COUNTIF(D29:AH29,"RT")+COUNTIF(D29:AH29,"Mİ")+MIN(2,AN29))</f>
        <v>30</v>
      </c>
      <c r="AR29" s="65" t="str">
        <f aca="false">IF(AK29&gt;=Ayarlar!$B$8,"FM yüksek",IF(AP29&gt;0,"Devamsız",IF(AL29&lt;4,"HT eksik","")))</f>
        <v>Devamsız</v>
      </c>
    </row>
    <row r="30" customFormat="false" ht="15" hidden="false" customHeight="false" outlineLevel="0" collapsed="false">
      <c r="A30" s="58" t="s">
        <v>133</v>
      </c>
      <c r="B30" s="59" t="s">
        <v>134</v>
      </c>
      <c r="C30" s="59" t="s">
        <v>82</v>
      </c>
      <c r="D30" s="60" t="n">
        <v>10.5</v>
      </c>
      <c r="E30" s="60" t="n">
        <v>7.5</v>
      </c>
      <c r="F30" s="60" t="n">
        <v>7.5</v>
      </c>
      <c r="G30" s="60" t="s">
        <v>83</v>
      </c>
      <c r="H30" s="60" t="n">
        <v>7.5</v>
      </c>
      <c r="I30" s="60" t="n">
        <v>7.5</v>
      </c>
      <c r="J30" s="60" t="n">
        <v>7.5</v>
      </c>
      <c r="K30" s="60" t="n">
        <v>9.5</v>
      </c>
      <c r="L30" s="60" t="n">
        <v>10.5</v>
      </c>
      <c r="M30" s="60" t="n">
        <v>7.5</v>
      </c>
      <c r="N30" s="60" t="s">
        <v>83</v>
      </c>
      <c r="O30" s="60" t="n">
        <v>10.5</v>
      </c>
      <c r="P30" s="60" t="n">
        <v>7.5</v>
      </c>
      <c r="Q30" s="60" t="n">
        <v>9.5</v>
      </c>
      <c r="R30" s="60" t="n">
        <v>7.5</v>
      </c>
      <c r="S30" s="60" t="n">
        <v>10.5</v>
      </c>
      <c r="T30" s="60" t="s">
        <v>83</v>
      </c>
      <c r="U30" s="60" t="s">
        <v>83</v>
      </c>
      <c r="V30" s="60" t="s">
        <v>84</v>
      </c>
      <c r="W30" s="60" t="n">
        <v>7.5</v>
      </c>
      <c r="X30" s="60" t="n">
        <v>7.5</v>
      </c>
      <c r="Y30" s="60" t="n">
        <v>7.5</v>
      </c>
      <c r="Z30" s="60" t="n">
        <v>10.5</v>
      </c>
      <c r="AA30" s="60" t="n">
        <v>7.5</v>
      </c>
      <c r="AB30" s="60" t="s">
        <v>83</v>
      </c>
      <c r="AC30" s="60" t="n">
        <v>7.5</v>
      </c>
      <c r="AD30" s="60" t="n">
        <v>7.5</v>
      </c>
      <c r="AE30" s="60" t="n">
        <v>7.5</v>
      </c>
      <c r="AF30" s="60" t="s">
        <v>86</v>
      </c>
      <c r="AG30" s="60" t="n">
        <v>9.5</v>
      </c>
      <c r="AH30" s="60" t="n">
        <v>7.5</v>
      </c>
      <c r="AI30" s="61" t="n">
        <f aca="false">COUNT(D30:AH30)</f>
        <v>24</v>
      </c>
      <c r="AJ30" s="62" t="n">
        <f aca="false">SUM(D30:AH30)</f>
        <v>201</v>
      </c>
      <c r="AK30" s="63" t="n">
        <f aca="false">SUMIF(D30:AH30,"&gt;"&amp;Ayarlar!$B$6)-Ayarlar!$B$6*COUNTIF(D30:AH30,"&gt;"&amp;Ayarlar!$B$6)</f>
        <v>21</v>
      </c>
      <c r="AL30" s="64" t="n">
        <f aca="false">COUNTIF(D30:AH30,"HT")</f>
        <v>5</v>
      </c>
      <c r="AM30" s="64" t="n">
        <f aca="false">COUNTIF(D30:AH30,"Yİ")</f>
        <v>1</v>
      </c>
      <c r="AN30" s="64" t="n">
        <f aca="false">COUNTIF(D30:AH30,"R")</f>
        <v>0</v>
      </c>
      <c r="AO30" s="64" t="n">
        <f aca="false">COUNTIF(D30:AH30,"Üİ")</f>
        <v>0</v>
      </c>
      <c r="AP30" s="64" t="n">
        <f aca="false">COUNTIF(D30:AH30,"D")</f>
        <v>0</v>
      </c>
      <c r="AQ30" s="61" t="n">
        <f aca="false">MIN(30,AI30+AL30+AM30+COUNTIF(D30:AH30,"RT")+COUNTIF(D30:AH30,"Mİ")+MIN(2,AN30))</f>
        <v>30</v>
      </c>
      <c r="AR30" s="65" t="str">
        <f aca="false">IF(AK30&gt;=Ayarlar!$B$8,"FM yüksek",IF(AP30&gt;0,"Devamsız",IF(AL30&lt;4,"HT eksik","")))</f>
        <v/>
      </c>
    </row>
    <row r="31" customFormat="false" ht="15" hidden="false" customHeight="false" outlineLevel="0" collapsed="false">
      <c r="A31" s="58" t="s">
        <v>135</v>
      </c>
      <c r="B31" s="59" t="s">
        <v>136</v>
      </c>
      <c r="C31" s="59" t="s">
        <v>137</v>
      </c>
      <c r="D31" s="60" t="n">
        <v>7.5</v>
      </c>
      <c r="E31" s="60" t="n">
        <v>9.5</v>
      </c>
      <c r="F31" s="60" t="s">
        <v>84</v>
      </c>
      <c r="G31" s="60" t="s">
        <v>83</v>
      </c>
      <c r="H31" s="60" t="n">
        <v>7.5</v>
      </c>
      <c r="I31" s="60" t="n">
        <v>7.5</v>
      </c>
      <c r="J31" s="60" t="n">
        <v>10.5</v>
      </c>
      <c r="K31" s="60" t="n">
        <v>7.5</v>
      </c>
      <c r="L31" s="60" t="n">
        <v>7.5</v>
      </c>
      <c r="M31" s="60" t="s">
        <v>83</v>
      </c>
      <c r="N31" s="60" t="s">
        <v>83</v>
      </c>
      <c r="O31" s="60" t="n">
        <v>7.5</v>
      </c>
      <c r="P31" s="60" t="n">
        <v>10.5</v>
      </c>
      <c r="Q31" s="60" t="n">
        <v>7.5</v>
      </c>
      <c r="R31" s="60" t="n">
        <v>7.5</v>
      </c>
      <c r="S31" s="60" t="n">
        <v>9.5</v>
      </c>
      <c r="T31" s="60" t="s">
        <v>83</v>
      </c>
      <c r="U31" s="60" t="s">
        <v>83</v>
      </c>
      <c r="V31" s="60" t="n">
        <v>7.5</v>
      </c>
      <c r="W31" s="60" t="n">
        <v>7.5</v>
      </c>
      <c r="X31" s="60" t="n">
        <v>7.5</v>
      </c>
      <c r="Y31" s="60" t="n">
        <v>7.5</v>
      </c>
      <c r="Z31" s="60" t="n">
        <v>7.5</v>
      </c>
      <c r="AA31" s="60" t="s">
        <v>83</v>
      </c>
      <c r="AB31" s="60" t="s">
        <v>83</v>
      </c>
      <c r="AC31" s="60" t="n">
        <v>7.5</v>
      </c>
      <c r="AD31" s="60" t="n">
        <v>7.5</v>
      </c>
      <c r="AE31" s="60" t="n">
        <v>7.5</v>
      </c>
      <c r="AF31" s="60" t="s">
        <v>86</v>
      </c>
      <c r="AG31" s="60" t="n">
        <v>7.5</v>
      </c>
      <c r="AH31" s="60" t="s">
        <v>83</v>
      </c>
      <c r="AI31" s="61" t="n">
        <f aca="false">COUNT(D31:AH31)</f>
        <v>21</v>
      </c>
      <c r="AJ31" s="62" t="n">
        <f aca="false">SUM(D31:AH31)</f>
        <v>167.5</v>
      </c>
      <c r="AK31" s="63" t="n">
        <f aca="false">SUMIF(D31:AH31,"&gt;"&amp;Ayarlar!$B$6)-Ayarlar!$B$6*COUNTIF(D31:AH31,"&gt;"&amp;Ayarlar!$B$6)</f>
        <v>10</v>
      </c>
      <c r="AL31" s="64" t="n">
        <f aca="false">COUNTIF(D31:AH31,"HT")</f>
        <v>8</v>
      </c>
      <c r="AM31" s="64" t="n">
        <f aca="false">COUNTIF(D31:AH31,"Yİ")</f>
        <v>1</v>
      </c>
      <c r="AN31" s="64" t="n">
        <f aca="false">COUNTIF(D31:AH31,"R")</f>
        <v>0</v>
      </c>
      <c r="AO31" s="64" t="n">
        <f aca="false">COUNTIF(D31:AH31,"Üİ")</f>
        <v>0</v>
      </c>
      <c r="AP31" s="64" t="n">
        <f aca="false">COUNTIF(D31:AH31,"D")</f>
        <v>0</v>
      </c>
      <c r="AQ31" s="61" t="n">
        <f aca="false">MIN(30,AI31+AL31+AM31+COUNTIF(D31:AH31,"RT")+COUNTIF(D31:AH31,"Mİ")+MIN(2,AN31))</f>
        <v>30</v>
      </c>
      <c r="AR31" s="65" t="str">
        <f aca="false">IF(AK31&gt;=Ayarlar!$B$8,"FM yüksek",IF(AP31&gt;0,"Devamsız",IF(AL31&lt;4,"HT eksik","")))</f>
        <v/>
      </c>
    </row>
    <row r="32" customFormat="false" ht="15" hidden="false" customHeight="false" outlineLevel="0" collapsed="false">
      <c r="A32" s="58" t="s">
        <v>138</v>
      </c>
      <c r="B32" s="59" t="s">
        <v>139</v>
      </c>
      <c r="C32" s="59" t="s">
        <v>82</v>
      </c>
      <c r="D32" s="60" t="n">
        <v>7.5</v>
      </c>
      <c r="E32" s="60" t="n">
        <v>7.5</v>
      </c>
      <c r="F32" s="60" t="s">
        <v>83</v>
      </c>
      <c r="G32" s="60" t="s">
        <v>83</v>
      </c>
      <c r="H32" s="60" t="n">
        <v>7.5</v>
      </c>
      <c r="I32" s="60" t="n">
        <v>7.5</v>
      </c>
      <c r="J32" s="60" t="n">
        <v>7.5</v>
      </c>
      <c r="K32" s="60" t="n">
        <v>10.5</v>
      </c>
      <c r="L32" s="60" t="n">
        <v>10.5</v>
      </c>
      <c r="M32" s="60" t="s">
        <v>83</v>
      </c>
      <c r="N32" s="60" t="s">
        <v>83</v>
      </c>
      <c r="O32" s="60" t="n">
        <v>7.5</v>
      </c>
      <c r="P32" s="60" t="n">
        <v>7.5</v>
      </c>
      <c r="Q32" s="60" t="n">
        <v>7.5</v>
      </c>
      <c r="R32" s="60" t="n">
        <v>7.5</v>
      </c>
      <c r="S32" s="60" t="n">
        <v>7.5</v>
      </c>
      <c r="T32" s="60" t="s">
        <v>83</v>
      </c>
      <c r="U32" s="60" t="s">
        <v>83</v>
      </c>
      <c r="V32" s="60" t="n">
        <v>10.5</v>
      </c>
      <c r="W32" s="60" t="n">
        <v>9.5</v>
      </c>
      <c r="X32" s="60" t="n">
        <v>7.5</v>
      </c>
      <c r="Y32" s="60" t="n">
        <v>7.5</v>
      </c>
      <c r="Z32" s="60" t="n">
        <v>7.5</v>
      </c>
      <c r="AA32" s="60" t="n">
        <v>7.5</v>
      </c>
      <c r="AB32" s="60" t="s">
        <v>83</v>
      </c>
      <c r="AC32" s="60" t="n">
        <v>7.5</v>
      </c>
      <c r="AD32" s="60" t="n">
        <v>10.5</v>
      </c>
      <c r="AE32" s="60" t="n">
        <v>7.5</v>
      </c>
      <c r="AF32" s="60" t="s">
        <v>86</v>
      </c>
      <c r="AG32" s="60" t="n">
        <v>7.5</v>
      </c>
      <c r="AH32" s="60" t="s">
        <v>83</v>
      </c>
      <c r="AI32" s="61" t="n">
        <f aca="false">COUNT(D32:AH32)</f>
        <v>22</v>
      </c>
      <c r="AJ32" s="62" t="n">
        <f aca="false">SUM(D32:AH32)</f>
        <v>179</v>
      </c>
      <c r="AK32" s="63" t="n">
        <f aca="false">SUMIF(D32:AH32,"&gt;"&amp;Ayarlar!$B$6)-Ayarlar!$B$6*COUNTIF(D32:AH32,"&gt;"&amp;Ayarlar!$B$6)</f>
        <v>14</v>
      </c>
      <c r="AL32" s="64" t="n">
        <f aca="false">COUNTIF(D32:AH32,"HT")</f>
        <v>8</v>
      </c>
      <c r="AM32" s="64" t="n">
        <f aca="false">COUNTIF(D32:AH32,"Yİ")</f>
        <v>0</v>
      </c>
      <c r="AN32" s="64" t="n">
        <f aca="false">COUNTIF(D32:AH32,"R")</f>
        <v>0</v>
      </c>
      <c r="AO32" s="64" t="n">
        <f aca="false">COUNTIF(D32:AH32,"Üİ")</f>
        <v>0</v>
      </c>
      <c r="AP32" s="64" t="n">
        <f aca="false">COUNTIF(D32:AH32,"D")</f>
        <v>0</v>
      </c>
      <c r="AQ32" s="61" t="n">
        <f aca="false">MIN(30,AI32+AL32+AM32+COUNTIF(D32:AH32,"RT")+COUNTIF(D32:AH32,"Mİ")+MIN(2,AN32))</f>
        <v>30</v>
      </c>
      <c r="AR32" s="65" t="str">
        <f aca="false">IF(AK32&gt;=Ayarlar!$B$8,"FM yüksek",IF(AP32&gt;0,"Devamsız",IF(AL32&lt;4,"HT eksik","")))</f>
        <v/>
      </c>
    </row>
    <row r="33" customFormat="false" ht="15" hidden="false" customHeight="false" outlineLevel="0" collapsed="false">
      <c r="A33" s="58" t="s">
        <v>140</v>
      </c>
      <c r="B33" s="59" t="s">
        <v>141</v>
      </c>
      <c r="C33" s="59" t="s">
        <v>142</v>
      </c>
      <c r="D33" s="60" t="n">
        <v>7.5</v>
      </c>
      <c r="E33" s="60" t="n">
        <v>10.5</v>
      </c>
      <c r="F33" s="60" t="n">
        <v>7.5</v>
      </c>
      <c r="G33" s="60" t="s">
        <v>83</v>
      </c>
      <c r="H33" s="60" t="n">
        <v>7.5</v>
      </c>
      <c r="I33" s="60" t="n">
        <v>7.5</v>
      </c>
      <c r="J33" s="60" t="n">
        <v>7.5</v>
      </c>
      <c r="K33" s="60" t="n">
        <v>9.5</v>
      </c>
      <c r="L33" s="60" t="n">
        <v>7.5</v>
      </c>
      <c r="M33" s="60" t="n">
        <v>7.5</v>
      </c>
      <c r="N33" s="60" t="s">
        <v>83</v>
      </c>
      <c r="O33" s="60" t="n">
        <v>7.5</v>
      </c>
      <c r="P33" s="60" t="n">
        <v>7.5</v>
      </c>
      <c r="Q33" s="60" t="n">
        <v>7.5</v>
      </c>
      <c r="R33" s="60" t="n">
        <v>9.5</v>
      </c>
      <c r="S33" s="60" t="n">
        <v>7.5</v>
      </c>
      <c r="T33" s="60" t="s">
        <v>83</v>
      </c>
      <c r="U33" s="60" t="s">
        <v>83</v>
      </c>
      <c r="V33" s="60" t="n">
        <v>10.5</v>
      </c>
      <c r="W33" s="60" t="n">
        <v>7.5</v>
      </c>
      <c r="X33" s="60" t="n">
        <v>9.5</v>
      </c>
      <c r="Y33" s="60" t="n">
        <v>10.5</v>
      </c>
      <c r="Z33" s="60" t="n">
        <v>7.5</v>
      </c>
      <c r="AA33" s="60" t="s">
        <v>83</v>
      </c>
      <c r="AB33" s="60" t="s">
        <v>83</v>
      </c>
      <c r="AC33" s="60" t="n">
        <v>7.5</v>
      </c>
      <c r="AD33" s="60" t="n">
        <v>10.5</v>
      </c>
      <c r="AE33" s="60" t="n">
        <v>7.5</v>
      </c>
      <c r="AF33" s="60" t="s">
        <v>86</v>
      </c>
      <c r="AG33" s="60" t="n">
        <v>9.5</v>
      </c>
      <c r="AH33" s="60" t="s">
        <v>83</v>
      </c>
      <c r="AI33" s="61" t="n">
        <f aca="false">COUNT(D33:AH33)</f>
        <v>23</v>
      </c>
      <c r="AJ33" s="62" t="n">
        <f aca="false">SUM(D33:AH33)</f>
        <v>192.5</v>
      </c>
      <c r="AK33" s="63" t="n">
        <f aca="false">SUMIF(D33:AH33,"&gt;"&amp;Ayarlar!$B$6)-Ayarlar!$B$6*COUNTIF(D33:AH33,"&gt;"&amp;Ayarlar!$B$6)</f>
        <v>20</v>
      </c>
      <c r="AL33" s="64" t="n">
        <f aca="false">COUNTIF(D33:AH33,"HT")</f>
        <v>7</v>
      </c>
      <c r="AM33" s="64" t="n">
        <f aca="false">COUNTIF(D33:AH33,"Yİ")</f>
        <v>0</v>
      </c>
      <c r="AN33" s="64" t="n">
        <f aca="false">COUNTIF(D33:AH33,"R")</f>
        <v>0</v>
      </c>
      <c r="AO33" s="64" t="n">
        <f aca="false">COUNTIF(D33:AH33,"Üİ")</f>
        <v>0</v>
      </c>
      <c r="AP33" s="64" t="n">
        <f aca="false">COUNTIF(D33:AH33,"D")</f>
        <v>0</v>
      </c>
      <c r="AQ33" s="61" t="n">
        <f aca="false">MIN(30,AI33+AL33+AM33+COUNTIF(D33:AH33,"RT")+COUNTIF(D33:AH33,"Mİ")+MIN(2,AN33))</f>
        <v>30</v>
      </c>
      <c r="AR33" s="65" t="str">
        <f aca="false">IF(AK33&gt;=Ayarlar!$B$8,"FM yüksek",IF(AP33&gt;0,"Devamsız",IF(AL33&lt;4,"HT eksik","")))</f>
        <v/>
      </c>
    </row>
    <row r="34" customFormat="false" ht="15" hidden="false" customHeight="false" outlineLevel="0" collapsed="false">
      <c r="A34" s="58" t="s">
        <v>143</v>
      </c>
      <c r="B34" s="59" t="s">
        <v>144</v>
      </c>
      <c r="C34" s="59" t="s">
        <v>82</v>
      </c>
      <c r="D34" s="60" t="n">
        <v>7.5</v>
      </c>
      <c r="E34" s="60" t="n">
        <v>10.5</v>
      </c>
      <c r="F34" s="60" t="n">
        <v>7.5</v>
      </c>
      <c r="G34" s="60" t="s">
        <v>83</v>
      </c>
      <c r="H34" s="60" t="n">
        <v>10.5</v>
      </c>
      <c r="I34" s="60" t="n">
        <v>7.5</v>
      </c>
      <c r="J34" s="60" t="n">
        <v>7.5</v>
      </c>
      <c r="K34" s="60" t="n">
        <v>7.5</v>
      </c>
      <c r="L34" s="60" t="n">
        <v>10.5</v>
      </c>
      <c r="M34" s="60" t="n">
        <v>7.5</v>
      </c>
      <c r="N34" s="60" t="s">
        <v>83</v>
      </c>
      <c r="O34" s="60" t="n">
        <v>7.5</v>
      </c>
      <c r="P34" s="60" t="n">
        <v>7.5</v>
      </c>
      <c r="Q34" s="60" t="n">
        <v>7.5</v>
      </c>
      <c r="R34" s="60" t="n">
        <v>9.5</v>
      </c>
      <c r="S34" s="60" t="n">
        <v>7.5</v>
      </c>
      <c r="T34" s="60" t="n">
        <v>7.5</v>
      </c>
      <c r="U34" s="60" t="s">
        <v>83</v>
      </c>
      <c r="V34" s="60" t="n">
        <v>7.5</v>
      </c>
      <c r="W34" s="60" t="n">
        <v>7.5</v>
      </c>
      <c r="X34" s="60" t="n">
        <v>9.5</v>
      </c>
      <c r="Y34" s="60" t="n">
        <v>7.5</v>
      </c>
      <c r="Z34" s="60" t="n">
        <v>7.5</v>
      </c>
      <c r="AA34" s="60" t="n">
        <v>7.5</v>
      </c>
      <c r="AB34" s="60" t="s">
        <v>83</v>
      </c>
      <c r="AC34" s="60" t="n">
        <v>7.5</v>
      </c>
      <c r="AD34" s="60" t="s">
        <v>84</v>
      </c>
      <c r="AE34" s="60" t="n">
        <v>10.5</v>
      </c>
      <c r="AF34" s="60" t="s">
        <v>86</v>
      </c>
      <c r="AG34" s="60" t="n">
        <v>9.5</v>
      </c>
      <c r="AH34" s="60" t="n">
        <v>7.5</v>
      </c>
      <c r="AI34" s="61" t="n">
        <f aca="false">COUNT(D34:AH34)</f>
        <v>25</v>
      </c>
      <c r="AJ34" s="62" t="n">
        <f aca="false">SUM(D34:AH34)</f>
        <v>205.5</v>
      </c>
      <c r="AK34" s="63" t="n">
        <f aca="false">SUMIF(D34:AH34,"&gt;"&amp;Ayarlar!$B$6)-Ayarlar!$B$6*COUNTIF(D34:AH34,"&gt;"&amp;Ayarlar!$B$6)</f>
        <v>18</v>
      </c>
      <c r="AL34" s="64" t="n">
        <f aca="false">COUNTIF(D34:AH34,"HT")</f>
        <v>4</v>
      </c>
      <c r="AM34" s="64" t="n">
        <f aca="false">COUNTIF(D34:AH34,"Yİ")</f>
        <v>1</v>
      </c>
      <c r="AN34" s="64" t="n">
        <f aca="false">COUNTIF(D34:AH34,"R")</f>
        <v>0</v>
      </c>
      <c r="AO34" s="64" t="n">
        <f aca="false">COUNTIF(D34:AH34,"Üİ")</f>
        <v>0</v>
      </c>
      <c r="AP34" s="64" t="n">
        <f aca="false">COUNTIF(D34:AH34,"D")</f>
        <v>0</v>
      </c>
      <c r="AQ34" s="61" t="n">
        <f aca="false">MIN(30,AI34+AL34+AM34+COUNTIF(D34:AH34,"RT")+COUNTIF(D34:AH34,"Mİ")+MIN(2,AN34))</f>
        <v>30</v>
      </c>
      <c r="AR34" s="65" t="str">
        <f aca="false">IF(AK34&gt;=Ayarlar!$B$8,"FM yüksek",IF(AP34&gt;0,"Devamsız",IF(AL34&lt;4,"HT eksik","")))</f>
        <v/>
      </c>
    </row>
    <row r="35" customFormat="false" ht="15" hidden="false" customHeight="false" outlineLevel="0" collapsed="false">
      <c r="A35" s="58" t="s">
        <v>145</v>
      </c>
      <c r="B35" s="59" t="s">
        <v>146</v>
      </c>
      <c r="C35" s="59" t="s">
        <v>147</v>
      </c>
      <c r="D35" s="60" t="n">
        <v>7.5</v>
      </c>
      <c r="E35" s="60" t="n">
        <v>7.5</v>
      </c>
      <c r="F35" s="60" t="n">
        <v>7.5</v>
      </c>
      <c r="G35" s="60" t="s">
        <v>83</v>
      </c>
      <c r="H35" s="60" t="n">
        <v>7.5</v>
      </c>
      <c r="I35" s="60" t="n">
        <v>7.5</v>
      </c>
      <c r="J35" s="60" t="n">
        <v>7.5</v>
      </c>
      <c r="K35" s="60" t="n">
        <v>7.5</v>
      </c>
      <c r="L35" s="60" t="n">
        <v>9.5</v>
      </c>
      <c r="M35" s="60" t="n">
        <v>7.5</v>
      </c>
      <c r="N35" s="60" t="s">
        <v>83</v>
      </c>
      <c r="O35" s="60" t="n">
        <v>7.5</v>
      </c>
      <c r="P35" s="60" t="n">
        <v>7.5</v>
      </c>
      <c r="Q35" s="60" t="n">
        <v>7.5</v>
      </c>
      <c r="R35" s="60" t="n">
        <v>7.5</v>
      </c>
      <c r="S35" s="60" t="n">
        <v>7.5</v>
      </c>
      <c r="T35" s="60" t="s">
        <v>83</v>
      </c>
      <c r="U35" s="60" t="s">
        <v>83</v>
      </c>
      <c r="V35" s="60" t="n">
        <v>7.5</v>
      </c>
      <c r="W35" s="60" t="n">
        <v>9.5</v>
      </c>
      <c r="X35" s="60" t="n">
        <v>7.5</v>
      </c>
      <c r="Y35" s="60" t="n">
        <v>7.5</v>
      </c>
      <c r="Z35" s="60" t="n">
        <v>7.5</v>
      </c>
      <c r="AA35" s="60" t="n">
        <v>7.5</v>
      </c>
      <c r="AB35" s="60" t="s">
        <v>83</v>
      </c>
      <c r="AC35" s="60" t="n">
        <v>7.5</v>
      </c>
      <c r="AD35" s="60" t="n">
        <v>7.5</v>
      </c>
      <c r="AE35" s="60" t="n">
        <v>9.5</v>
      </c>
      <c r="AF35" s="60" t="s">
        <v>86</v>
      </c>
      <c r="AG35" s="60" t="n">
        <v>9.5</v>
      </c>
      <c r="AH35" s="60" t="n">
        <v>7.5</v>
      </c>
      <c r="AI35" s="61" t="n">
        <f aca="false">COUNT(D35:AH35)</f>
        <v>25</v>
      </c>
      <c r="AJ35" s="62" t="n">
        <f aca="false">SUM(D35:AH35)</f>
        <v>195.5</v>
      </c>
      <c r="AK35" s="63" t="n">
        <f aca="false">SUMIF(D35:AH35,"&gt;"&amp;Ayarlar!$B$6)-Ayarlar!$B$6*COUNTIF(D35:AH35,"&gt;"&amp;Ayarlar!$B$6)</f>
        <v>8</v>
      </c>
      <c r="AL35" s="64" t="n">
        <f aca="false">COUNTIF(D35:AH35,"HT")</f>
        <v>5</v>
      </c>
      <c r="AM35" s="64" t="n">
        <f aca="false">COUNTIF(D35:AH35,"Yİ")</f>
        <v>0</v>
      </c>
      <c r="AN35" s="64" t="n">
        <f aca="false">COUNTIF(D35:AH35,"R")</f>
        <v>0</v>
      </c>
      <c r="AO35" s="64" t="n">
        <f aca="false">COUNTIF(D35:AH35,"Üİ")</f>
        <v>0</v>
      </c>
      <c r="AP35" s="64" t="n">
        <f aca="false">COUNTIF(D35:AH35,"D")</f>
        <v>0</v>
      </c>
      <c r="AQ35" s="61" t="n">
        <f aca="false">MIN(30,AI35+AL35+AM35+COUNTIF(D35:AH35,"RT")+COUNTIF(D35:AH35,"Mİ")+MIN(2,AN35))</f>
        <v>30</v>
      </c>
      <c r="AR35" s="65" t="str">
        <f aca="false">IF(AK35&gt;=Ayarlar!$B$8,"FM yüksek",IF(AP35&gt;0,"Devamsız",IF(AL35&lt;4,"HT eksik","")))</f>
        <v/>
      </c>
    </row>
    <row r="36" customFormat="false" ht="15" hidden="false" customHeight="false" outlineLevel="0" collapsed="false">
      <c r="A36" s="58" t="s">
        <v>148</v>
      </c>
      <c r="B36" s="59" t="s">
        <v>149</v>
      </c>
      <c r="C36" s="59" t="s">
        <v>82</v>
      </c>
      <c r="D36" s="60" t="n">
        <v>7.5</v>
      </c>
      <c r="E36" s="60" t="n">
        <v>7.5</v>
      </c>
      <c r="F36" s="60" t="s">
        <v>83</v>
      </c>
      <c r="G36" s="60" t="s">
        <v>83</v>
      </c>
      <c r="H36" s="60" t="n">
        <v>7.5</v>
      </c>
      <c r="I36" s="60" t="n">
        <v>7.5</v>
      </c>
      <c r="J36" s="60" t="n">
        <v>9.5</v>
      </c>
      <c r="K36" s="60" t="n">
        <v>7.5</v>
      </c>
      <c r="L36" s="60" t="n">
        <v>7.5</v>
      </c>
      <c r="M36" s="60" t="n">
        <v>7.5</v>
      </c>
      <c r="N36" s="60" t="s">
        <v>83</v>
      </c>
      <c r="O36" s="60" t="s">
        <v>150</v>
      </c>
      <c r="P36" s="60" t="s">
        <v>84</v>
      </c>
      <c r="Q36" s="60" t="s">
        <v>84</v>
      </c>
      <c r="R36" s="60" t="n">
        <v>7.5</v>
      </c>
      <c r="S36" s="60" t="n">
        <v>7.5</v>
      </c>
      <c r="T36" s="60" t="n">
        <v>7.5</v>
      </c>
      <c r="U36" s="60" t="s">
        <v>83</v>
      </c>
      <c r="V36" s="60" t="n">
        <v>7.5</v>
      </c>
      <c r="W36" s="60" t="n">
        <v>7.5</v>
      </c>
      <c r="X36" s="60" t="n">
        <v>7.5</v>
      </c>
      <c r="Y36" s="60" t="n">
        <v>7.5</v>
      </c>
      <c r="Z36" s="60" t="n">
        <v>7.5</v>
      </c>
      <c r="AA36" s="60" t="n">
        <v>7.5</v>
      </c>
      <c r="AB36" s="60" t="s">
        <v>83</v>
      </c>
      <c r="AC36" s="60" t="n">
        <v>7.5</v>
      </c>
      <c r="AD36" s="60" t="n">
        <v>7.5</v>
      </c>
      <c r="AE36" s="60" t="n">
        <v>9.5</v>
      </c>
      <c r="AF36" s="60" t="s">
        <v>86</v>
      </c>
      <c r="AG36" s="60" t="n">
        <v>10.5</v>
      </c>
      <c r="AH36" s="60" t="n">
        <v>7.5</v>
      </c>
      <c r="AI36" s="61" t="n">
        <f aca="false">COUNT(D36:AH36)</f>
        <v>22</v>
      </c>
      <c r="AJ36" s="62" t="n">
        <f aca="false">SUM(D36:AH36)</f>
        <v>172</v>
      </c>
      <c r="AK36" s="63" t="n">
        <f aca="false">SUMIF(D36:AH36,"&gt;"&amp;Ayarlar!$B$6)-Ayarlar!$B$6*COUNTIF(D36:AH36,"&gt;"&amp;Ayarlar!$B$6)</f>
        <v>7</v>
      </c>
      <c r="AL36" s="64" t="n">
        <f aca="false">COUNTIF(D36:AH36,"HT")</f>
        <v>5</v>
      </c>
      <c r="AM36" s="64" t="n">
        <f aca="false">COUNTIF(D36:AH36,"Yİ")</f>
        <v>2</v>
      </c>
      <c r="AN36" s="64" t="n">
        <f aca="false">COUNTIF(D36:AH36,"R")</f>
        <v>0</v>
      </c>
      <c r="AO36" s="64" t="n">
        <f aca="false">COUNTIF(D36:AH36,"Üİ")</f>
        <v>0</v>
      </c>
      <c r="AP36" s="64" t="n">
        <f aca="false">COUNTIF(D36:AH36,"D")</f>
        <v>0</v>
      </c>
      <c r="AQ36" s="61" t="n">
        <f aca="false">MIN(30,AI36+AL36+AM36+COUNTIF(D36:AH36,"RT")+COUNTIF(D36:AH36,"Mİ")+MIN(2,AN36))</f>
        <v>30</v>
      </c>
      <c r="AR36" s="65" t="str">
        <f aca="false">IF(AK36&gt;=Ayarlar!$B$8,"FM yüksek",IF(AP36&gt;0,"Devamsız",IF(AL36&lt;4,"HT eksik","")))</f>
        <v/>
      </c>
    </row>
    <row r="37" customFormat="false" ht="15" hidden="false" customHeight="false" outlineLevel="0" collapsed="false">
      <c r="A37" s="58" t="s">
        <v>151</v>
      </c>
      <c r="B37" s="59" t="s">
        <v>152</v>
      </c>
      <c r="C37" s="59" t="s">
        <v>82</v>
      </c>
      <c r="D37" s="60" t="n">
        <v>7.5</v>
      </c>
      <c r="E37" s="60" t="n">
        <v>7.5</v>
      </c>
      <c r="F37" s="60" t="s">
        <v>83</v>
      </c>
      <c r="G37" s="60" t="s">
        <v>83</v>
      </c>
      <c r="H37" s="60" t="n">
        <v>7.5</v>
      </c>
      <c r="I37" s="60" t="n">
        <v>10.5</v>
      </c>
      <c r="J37" s="60" t="n">
        <v>7.5</v>
      </c>
      <c r="K37" s="60" t="n">
        <v>7.5</v>
      </c>
      <c r="L37" s="60" t="n">
        <v>7.5</v>
      </c>
      <c r="M37" s="60" t="s">
        <v>150</v>
      </c>
      <c r="N37" s="60" t="s">
        <v>83</v>
      </c>
      <c r="O37" s="60" t="n">
        <v>9.5</v>
      </c>
      <c r="P37" s="60" t="n">
        <v>7.5</v>
      </c>
      <c r="Q37" s="60" t="n">
        <v>7.5</v>
      </c>
      <c r="R37" s="60" t="n">
        <v>7.5</v>
      </c>
      <c r="S37" s="60" t="n">
        <v>7.5</v>
      </c>
      <c r="T37" s="60" t="n">
        <v>7.5</v>
      </c>
      <c r="U37" s="60" t="s">
        <v>83</v>
      </c>
      <c r="V37" s="60" t="n">
        <v>7.5</v>
      </c>
      <c r="W37" s="60" t="n">
        <v>10.5</v>
      </c>
      <c r="X37" s="60" t="n">
        <v>7.5</v>
      </c>
      <c r="Y37" s="60" t="n">
        <v>7.5</v>
      </c>
      <c r="Z37" s="60" t="n">
        <v>9.5</v>
      </c>
      <c r="AA37" s="60" t="n">
        <v>7.5</v>
      </c>
      <c r="AB37" s="60" t="s">
        <v>83</v>
      </c>
      <c r="AC37" s="60" t="n">
        <v>10.5</v>
      </c>
      <c r="AD37" s="60" t="n">
        <v>7.5</v>
      </c>
      <c r="AE37" s="60" t="n">
        <v>7.5</v>
      </c>
      <c r="AF37" s="60" t="s">
        <v>86</v>
      </c>
      <c r="AG37" s="60" t="n">
        <v>7.5</v>
      </c>
      <c r="AH37" s="60" t="n">
        <v>7.5</v>
      </c>
      <c r="AI37" s="61" t="n">
        <f aca="false">COUNT(D37:AH37)</f>
        <v>24</v>
      </c>
      <c r="AJ37" s="62" t="n">
        <f aca="false">SUM(D37:AH37)</f>
        <v>193</v>
      </c>
      <c r="AK37" s="63" t="n">
        <f aca="false">SUMIF(D37:AH37,"&gt;"&amp;Ayarlar!$B$6)-Ayarlar!$B$6*COUNTIF(D37:AH37,"&gt;"&amp;Ayarlar!$B$6)</f>
        <v>13</v>
      </c>
      <c r="AL37" s="64" t="n">
        <f aca="false">COUNTIF(D37:AH37,"HT")</f>
        <v>5</v>
      </c>
      <c r="AM37" s="64" t="n">
        <f aca="false">COUNTIF(D37:AH37,"Yİ")</f>
        <v>0</v>
      </c>
      <c r="AN37" s="64" t="n">
        <f aca="false">COUNTIF(D37:AH37,"R")</f>
        <v>0</v>
      </c>
      <c r="AO37" s="64" t="n">
        <f aca="false">COUNTIF(D37:AH37,"Üİ")</f>
        <v>0</v>
      </c>
      <c r="AP37" s="64" t="n">
        <f aca="false">COUNTIF(D37:AH37,"D")</f>
        <v>0</v>
      </c>
      <c r="AQ37" s="61" t="n">
        <f aca="false">MIN(30,AI37+AL37+AM37+COUNTIF(D37:AH37,"RT")+COUNTIF(D37:AH37,"Mİ")+MIN(2,AN37))</f>
        <v>30</v>
      </c>
      <c r="AR37" s="65" t="str">
        <f aca="false">IF(AK37&gt;=Ayarlar!$B$8,"FM yüksek",IF(AP37&gt;0,"Devamsız",IF(AL37&lt;4,"HT eksik","")))</f>
        <v/>
      </c>
    </row>
    <row r="38" customFormat="false" ht="15" hidden="false" customHeight="false" outlineLevel="0" collapsed="false">
      <c r="A38" s="58" t="s">
        <v>153</v>
      </c>
      <c r="B38" s="59" t="s">
        <v>154</v>
      </c>
      <c r="C38" s="59" t="s">
        <v>155</v>
      </c>
      <c r="D38" s="60" t="n">
        <v>7.5</v>
      </c>
      <c r="E38" s="60" t="n">
        <v>9.5</v>
      </c>
      <c r="F38" s="60" t="n">
        <v>7.5</v>
      </c>
      <c r="G38" s="60" t="s">
        <v>83</v>
      </c>
      <c r="H38" s="60" t="n">
        <v>7.5</v>
      </c>
      <c r="I38" s="60" t="n">
        <v>10.5</v>
      </c>
      <c r="J38" s="60" t="n">
        <v>7.5</v>
      </c>
      <c r="K38" s="60" t="n">
        <v>7.5</v>
      </c>
      <c r="L38" s="60" t="n">
        <v>7.5</v>
      </c>
      <c r="M38" s="60" t="s">
        <v>90</v>
      </c>
      <c r="N38" s="60" t="s">
        <v>83</v>
      </c>
      <c r="O38" s="60" t="n">
        <v>7.5</v>
      </c>
      <c r="P38" s="60" t="n">
        <v>7.5</v>
      </c>
      <c r="Q38" s="60" t="n">
        <v>10.5</v>
      </c>
      <c r="R38" s="60" t="n">
        <v>7.5</v>
      </c>
      <c r="S38" s="60" t="n">
        <v>7.5</v>
      </c>
      <c r="T38" s="60" t="n">
        <v>7.5</v>
      </c>
      <c r="U38" s="60" t="s">
        <v>83</v>
      </c>
      <c r="V38" s="60" t="n">
        <v>9.5</v>
      </c>
      <c r="W38" s="60" t="n">
        <v>9.5</v>
      </c>
      <c r="X38" s="60" t="n">
        <v>10.5</v>
      </c>
      <c r="Y38" s="60" t="n">
        <v>10.5</v>
      </c>
      <c r="Z38" s="60" t="n">
        <v>7.5</v>
      </c>
      <c r="AA38" s="60" t="n">
        <v>7.5</v>
      </c>
      <c r="AB38" s="60" t="s">
        <v>83</v>
      </c>
      <c r="AC38" s="60" t="s">
        <v>84</v>
      </c>
      <c r="AD38" s="60" t="n">
        <v>7.5</v>
      </c>
      <c r="AE38" s="60" t="n">
        <v>7.5</v>
      </c>
      <c r="AF38" s="60" t="s">
        <v>86</v>
      </c>
      <c r="AG38" s="60" t="n">
        <v>9.5</v>
      </c>
      <c r="AH38" s="60" t="s">
        <v>83</v>
      </c>
      <c r="AI38" s="61" t="n">
        <f aca="false">COUNT(D38:AH38)</f>
        <v>23</v>
      </c>
      <c r="AJ38" s="62" t="n">
        <f aca="false">SUM(D38:AH38)</f>
        <v>192.5</v>
      </c>
      <c r="AK38" s="63" t="n">
        <f aca="false">SUMIF(D38:AH38,"&gt;"&amp;Ayarlar!$B$6)-Ayarlar!$B$6*COUNTIF(D38:AH38,"&gt;"&amp;Ayarlar!$B$6)</f>
        <v>20</v>
      </c>
      <c r="AL38" s="64" t="n">
        <f aca="false">COUNTIF(D38:AH38,"HT")</f>
        <v>5</v>
      </c>
      <c r="AM38" s="64" t="n">
        <f aca="false">COUNTIF(D38:AH38,"Yİ")</f>
        <v>1</v>
      </c>
      <c r="AN38" s="64" t="n">
        <f aca="false">COUNTIF(D38:AH38,"R")</f>
        <v>1</v>
      </c>
      <c r="AO38" s="64" t="n">
        <f aca="false">COUNTIF(D38:AH38,"Üİ")</f>
        <v>0</v>
      </c>
      <c r="AP38" s="64" t="n">
        <f aca="false">COUNTIF(D38:AH38,"D")</f>
        <v>0</v>
      </c>
      <c r="AQ38" s="61" t="n">
        <f aca="false">MIN(30,AI38+AL38+AM38+COUNTIF(D38:AH38,"RT")+COUNTIF(D38:AH38,"Mİ")+MIN(2,AN38))</f>
        <v>30</v>
      </c>
      <c r="AR38" s="65" t="str">
        <f aca="false">IF(AK38&gt;=Ayarlar!$B$8,"FM yüksek",IF(AP38&gt;0,"Devamsız",IF(AL38&lt;4,"HT eksik","")))</f>
        <v/>
      </c>
    </row>
    <row r="39" customFormat="false" ht="15" hidden="false" customHeight="false" outlineLevel="0" collapsed="false">
      <c r="A39" s="58" t="s">
        <v>156</v>
      </c>
      <c r="B39" s="59" t="s">
        <v>157</v>
      </c>
      <c r="C39" s="59" t="s">
        <v>82</v>
      </c>
      <c r="D39" s="60" t="s">
        <v>90</v>
      </c>
      <c r="E39" s="60" t="n">
        <v>10.5</v>
      </c>
      <c r="F39" s="60" t="n">
        <v>7.5</v>
      </c>
      <c r="G39" s="60" t="s">
        <v>83</v>
      </c>
      <c r="H39" s="60" t="n">
        <v>7.5</v>
      </c>
      <c r="I39" s="60" t="s">
        <v>85</v>
      </c>
      <c r="J39" s="60" t="n">
        <v>10.5</v>
      </c>
      <c r="K39" s="60" t="n">
        <v>7.5</v>
      </c>
      <c r="L39" s="60" t="n">
        <v>7.5</v>
      </c>
      <c r="M39" s="60" t="s">
        <v>83</v>
      </c>
      <c r="N39" s="60" t="s">
        <v>83</v>
      </c>
      <c r="O39" s="60" t="n">
        <v>7.5</v>
      </c>
      <c r="P39" s="60" t="n">
        <v>7.5</v>
      </c>
      <c r="Q39" s="60" t="n">
        <v>7.5</v>
      </c>
      <c r="R39" s="60" t="n">
        <v>7.5</v>
      </c>
      <c r="S39" s="60" t="n">
        <v>7.5</v>
      </c>
      <c r="T39" s="60" t="n">
        <v>7.5</v>
      </c>
      <c r="U39" s="60" t="s">
        <v>83</v>
      </c>
      <c r="V39" s="60" t="n">
        <v>10.5</v>
      </c>
      <c r="W39" s="60" t="n">
        <v>7.5</v>
      </c>
      <c r="X39" s="60" t="n">
        <v>7.5</v>
      </c>
      <c r="Y39" s="60" t="n">
        <v>7.5</v>
      </c>
      <c r="Z39" s="60" t="n">
        <v>7.5</v>
      </c>
      <c r="AA39" s="60" t="n">
        <v>7.5</v>
      </c>
      <c r="AB39" s="60" t="s">
        <v>83</v>
      </c>
      <c r="AC39" s="60" t="n">
        <v>9.5</v>
      </c>
      <c r="AD39" s="60" t="n">
        <v>7.5</v>
      </c>
      <c r="AE39" s="60" t="n">
        <v>7.5</v>
      </c>
      <c r="AF39" s="60" t="s">
        <v>86</v>
      </c>
      <c r="AG39" s="60" t="n">
        <v>10.5</v>
      </c>
      <c r="AH39" s="60" t="n">
        <v>7.5</v>
      </c>
      <c r="AI39" s="61" t="n">
        <f aca="false">COUNT(D39:AH39)</f>
        <v>23</v>
      </c>
      <c r="AJ39" s="62" t="n">
        <f aca="false">SUM(D39:AH39)</f>
        <v>186.5</v>
      </c>
      <c r="AK39" s="63" t="n">
        <f aca="false">SUMIF(D39:AH39,"&gt;"&amp;Ayarlar!$B$6)-Ayarlar!$B$6*COUNTIF(D39:AH39,"&gt;"&amp;Ayarlar!$B$6)</f>
        <v>14</v>
      </c>
      <c r="AL39" s="64" t="n">
        <f aca="false">COUNTIF(D39:AH39,"HT")</f>
        <v>5</v>
      </c>
      <c r="AM39" s="64" t="n">
        <f aca="false">COUNTIF(D39:AH39,"Yİ")</f>
        <v>0</v>
      </c>
      <c r="AN39" s="64" t="n">
        <f aca="false">COUNTIF(D39:AH39,"R")</f>
        <v>1</v>
      </c>
      <c r="AO39" s="64" t="n">
        <f aca="false">COUNTIF(D39:AH39,"Üİ")</f>
        <v>0</v>
      </c>
      <c r="AP39" s="64" t="n">
        <f aca="false">COUNTIF(D39:AH39,"D")</f>
        <v>1</v>
      </c>
      <c r="AQ39" s="61" t="n">
        <f aca="false">MIN(30,AI39+AL39+AM39+COUNTIF(D39:AH39,"RT")+COUNTIF(D39:AH39,"Mİ")+MIN(2,AN39))</f>
        <v>30</v>
      </c>
      <c r="AR39" s="65" t="str">
        <f aca="false">IF(AK39&gt;=Ayarlar!$B$8,"FM yüksek",IF(AP39&gt;0,"Devamsız",IF(AL39&lt;4,"HT eksik","")))</f>
        <v>Devamsız</v>
      </c>
    </row>
    <row r="40" customFormat="false" ht="15" hidden="false" customHeight="false" outlineLevel="0" collapsed="false">
      <c r="A40" s="58" t="s">
        <v>158</v>
      </c>
      <c r="B40" s="59" t="s">
        <v>159</v>
      </c>
      <c r="C40" s="59" t="s">
        <v>82</v>
      </c>
      <c r="D40" s="60" t="n">
        <v>9.5</v>
      </c>
      <c r="E40" s="60" t="n">
        <v>7.5</v>
      </c>
      <c r="F40" s="60" t="n">
        <v>7.5</v>
      </c>
      <c r="G40" s="60" t="s">
        <v>83</v>
      </c>
      <c r="H40" s="60" t="n">
        <v>10.5</v>
      </c>
      <c r="I40" s="60" t="n">
        <v>7.5</v>
      </c>
      <c r="J40" s="60" t="n">
        <v>7.5</v>
      </c>
      <c r="K40" s="60" t="n">
        <v>7.5</v>
      </c>
      <c r="L40" s="60" t="n">
        <v>7.5</v>
      </c>
      <c r="M40" s="60" t="s">
        <v>83</v>
      </c>
      <c r="N40" s="60" t="s">
        <v>83</v>
      </c>
      <c r="O40" s="60" t="n">
        <v>9.5</v>
      </c>
      <c r="P40" s="60" t="n">
        <v>7.5</v>
      </c>
      <c r="Q40" s="60" t="n">
        <v>7.5</v>
      </c>
      <c r="R40" s="60" t="n">
        <v>7.5</v>
      </c>
      <c r="S40" s="60" t="n">
        <v>7.5</v>
      </c>
      <c r="T40" s="60" t="s">
        <v>83</v>
      </c>
      <c r="U40" s="60" t="s">
        <v>83</v>
      </c>
      <c r="V40" s="60" t="n">
        <v>9.5</v>
      </c>
      <c r="W40" s="60" t="n">
        <v>7.5</v>
      </c>
      <c r="X40" s="60" t="n">
        <v>7.5</v>
      </c>
      <c r="Y40" s="60" t="n">
        <v>9.5</v>
      </c>
      <c r="Z40" s="60" t="n">
        <v>7.5</v>
      </c>
      <c r="AA40" s="60" t="n">
        <v>7.5</v>
      </c>
      <c r="AB40" s="60" t="s">
        <v>83</v>
      </c>
      <c r="AC40" s="60" t="n">
        <v>10.5</v>
      </c>
      <c r="AD40" s="60" t="n">
        <v>9.5</v>
      </c>
      <c r="AE40" s="60" t="n">
        <v>7.5</v>
      </c>
      <c r="AF40" s="60" t="s">
        <v>86</v>
      </c>
      <c r="AG40" s="60" t="n">
        <v>9.5</v>
      </c>
      <c r="AH40" s="60" t="n">
        <v>7.5</v>
      </c>
      <c r="AI40" s="61" t="n">
        <f aca="false">COUNT(D40:AH40)</f>
        <v>24</v>
      </c>
      <c r="AJ40" s="62" t="n">
        <f aca="false">SUM(D40:AH40)</f>
        <v>198</v>
      </c>
      <c r="AK40" s="63" t="n">
        <f aca="false">SUMIF(D40:AH40,"&gt;"&amp;Ayarlar!$B$6)-Ayarlar!$B$6*COUNTIF(D40:AH40,"&gt;"&amp;Ayarlar!$B$6)</f>
        <v>18</v>
      </c>
      <c r="AL40" s="64" t="n">
        <f aca="false">COUNTIF(D40:AH40,"HT")</f>
        <v>6</v>
      </c>
      <c r="AM40" s="64" t="n">
        <f aca="false">COUNTIF(D40:AH40,"Yİ")</f>
        <v>0</v>
      </c>
      <c r="AN40" s="64" t="n">
        <f aca="false">COUNTIF(D40:AH40,"R")</f>
        <v>0</v>
      </c>
      <c r="AO40" s="64" t="n">
        <f aca="false">COUNTIF(D40:AH40,"Üİ")</f>
        <v>0</v>
      </c>
      <c r="AP40" s="64" t="n">
        <f aca="false">COUNTIF(D40:AH40,"D")</f>
        <v>0</v>
      </c>
      <c r="AQ40" s="61" t="n">
        <f aca="false">MIN(30,AI40+AL40+AM40+COUNTIF(D40:AH40,"RT")+COUNTIF(D40:AH40,"Mİ")+MIN(2,AN40))</f>
        <v>30</v>
      </c>
      <c r="AR40" s="65" t="str">
        <f aca="false">IF(AK40&gt;=Ayarlar!$B$8,"FM yüksek",IF(AP40&gt;0,"Devamsız",IF(AL40&lt;4,"HT eksik","")))</f>
        <v/>
      </c>
    </row>
    <row r="41" customFormat="false" ht="15" hidden="false" customHeight="true" outlineLevel="0" collapsed="false">
      <c r="A41" s="71" t="s">
        <v>160</v>
      </c>
      <c r="B41" s="71"/>
      <c r="C41" s="71"/>
      <c r="D41" s="72" t="n">
        <f aca="false">IF(D$8="","",COUNT(D11:D40))</f>
        <v>28</v>
      </c>
      <c r="E41" s="72" t="n">
        <f aca="false">IF(E$8="","",COUNT(E11:E40))</f>
        <v>28</v>
      </c>
      <c r="F41" s="72" t="n">
        <f aca="false">IF(F$8="","",COUNT(F11:F40))</f>
        <v>22</v>
      </c>
      <c r="G41" s="72" t="n">
        <f aca="false">IF(G$8="","",COUNT(G11:G40))</f>
        <v>0</v>
      </c>
      <c r="H41" s="72" t="n">
        <f aca="false">IF(H$8="","",COUNT(H11:H40))</f>
        <v>30</v>
      </c>
      <c r="I41" s="72" t="n">
        <f aca="false">IF(I$8="","",COUNT(I11:I40))</f>
        <v>29</v>
      </c>
      <c r="J41" s="72" t="n">
        <f aca="false">IF(J$8="","",COUNT(J11:J40))</f>
        <v>30</v>
      </c>
      <c r="K41" s="72" t="n">
        <f aca="false">IF(K$8="","",COUNT(K11:K40))</f>
        <v>30</v>
      </c>
      <c r="L41" s="72" t="n">
        <f aca="false">IF(L$8="","",COUNT(L11:L40))</f>
        <v>29</v>
      </c>
      <c r="M41" s="72" t="n">
        <f aca="false">IF(M$8="","",COUNT(M11:M40))</f>
        <v>18</v>
      </c>
      <c r="N41" s="72" t="n">
        <f aca="false">IF(N$8="","",COUNT(N11:N40))</f>
        <v>0</v>
      </c>
      <c r="O41" s="72" t="n">
        <f aca="false">IF(O$8="","",COUNT(O11:O40))</f>
        <v>29</v>
      </c>
      <c r="P41" s="72" t="n">
        <f aca="false">IF(P$8="","",COUNT(P11:P40))</f>
        <v>28</v>
      </c>
      <c r="Q41" s="72" t="n">
        <f aca="false">IF(Q$8="","",COUNT(Q11:Q40))</f>
        <v>28</v>
      </c>
      <c r="R41" s="72" t="n">
        <f aca="false">IF(R$8="","",COUNT(R11:R40))</f>
        <v>28</v>
      </c>
      <c r="S41" s="72" t="n">
        <f aca="false">IF(S$8="","",COUNT(S11:S40))</f>
        <v>30</v>
      </c>
      <c r="T41" s="72" t="n">
        <f aca="false">IF(T$8="","",COUNT(T11:T40))</f>
        <v>17</v>
      </c>
      <c r="U41" s="72" t="n">
        <f aca="false">IF(U$8="","",COUNT(U11:U40))</f>
        <v>0</v>
      </c>
      <c r="V41" s="72" t="n">
        <f aca="false">IF(V$8="","",COUNT(V11:V40))</f>
        <v>28</v>
      </c>
      <c r="W41" s="72" t="n">
        <f aca="false">IF(W$8="","",COUNT(W11:W40))</f>
        <v>30</v>
      </c>
      <c r="X41" s="72" t="n">
        <f aca="false">IF(X$8="","",COUNT(X11:X40))</f>
        <v>30</v>
      </c>
      <c r="Y41" s="72" t="n">
        <f aca="false">IF(Y$8="","",COUNT(Y11:Y40))</f>
        <v>29</v>
      </c>
      <c r="Z41" s="72" t="n">
        <f aca="false">IF(Z$8="","",COUNT(Z11:Z40))</f>
        <v>29</v>
      </c>
      <c r="AA41" s="72" t="n">
        <f aca="false">IF(AA$8="","",COUNT(AA11:AA40))</f>
        <v>18</v>
      </c>
      <c r="AB41" s="72" t="n">
        <f aca="false">IF(AB$8="","",COUNT(AB11:AB40))</f>
        <v>0</v>
      </c>
      <c r="AC41" s="72" t="n">
        <f aca="false">IF(AC$8="","",COUNT(AC11:AC40))</f>
        <v>28</v>
      </c>
      <c r="AD41" s="72" t="n">
        <f aca="false">IF(AD$8="","",COUNT(AD11:AD40))</f>
        <v>28</v>
      </c>
      <c r="AE41" s="72" t="n">
        <f aca="false">IF(AE$8="","",COUNT(AE11:AE40))</f>
        <v>30</v>
      </c>
      <c r="AF41" s="72" t="n">
        <f aca="false">IF(AF$8="","",COUNT(AF11:AF40))</f>
        <v>0</v>
      </c>
      <c r="AG41" s="72" t="n">
        <f aca="false">IF(AG$8="","",COUNT(AG11:AG40))</f>
        <v>30</v>
      </c>
      <c r="AH41" s="72" t="n">
        <f aca="false">IF(AH$8="","",COUNT(AH11:AH40))</f>
        <v>23</v>
      </c>
      <c r="AI41" s="73" t="n">
        <f aca="false">SUM(AI11:AI40)</f>
        <v>707</v>
      </c>
      <c r="AJ41" s="74" t="n">
        <f aca="false">SUM(AJ11:AJ40)</f>
        <v>5772.5</v>
      </c>
      <c r="AK41" s="74" t="n">
        <f aca="false">SUM(AK11:AK40)</f>
        <v>470</v>
      </c>
      <c r="AL41" s="73" t="n">
        <f aca="false">SUM(AL11:AL40)</f>
        <v>164</v>
      </c>
      <c r="AM41" s="73" t="n">
        <f aca="false">SUM(AM11:AM40)</f>
        <v>16</v>
      </c>
      <c r="AN41" s="73" t="n">
        <f aca="false">SUM(AN11:AN40)</f>
        <v>6</v>
      </c>
      <c r="AO41" s="73" t="n">
        <f aca="false">SUM(AO11:AO40)</f>
        <v>0</v>
      </c>
      <c r="AP41" s="73" t="n">
        <f aca="false">SUM(AP11:AP40)</f>
        <v>5</v>
      </c>
      <c r="AQ41" s="73" t="n">
        <f aca="false">SUM(AQ11:AQ40)</f>
        <v>900</v>
      </c>
      <c r="AR41" s="75"/>
    </row>
    <row r="43" customFormat="false" ht="15" hidden="false" customHeight="false" outlineLevel="0" collapsed="false">
      <c r="A43" s="76" t="s">
        <v>63</v>
      </c>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c r="AR43" s="76"/>
      <c r="AS43" s="76"/>
    </row>
  </sheetData>
  <sheetProtection sheet="true" formatCells="false" formatColumns="false" formatRows="false" insertRows="false" deleteRows="false" sort="false" autoFilter="false"/>
  <mergeCells count="7">
    <mergeCell ref="A1:AS1"/>
    <mergeCell ref="A2:AS2"/>
    <mergeCell ref="B4:C4"/>
    <mergeCell ref="B5:C5"/>
    <mergeCell ref="B6:C6"/>
    <mergeCell ref="A41:C41"/>
    <mergeCell ref="A43:AS43"/>
  </mergeCells>
  <conditionalFormatting sqref="D11:AH40">
    <cfRule type="cellIs" priority="2" operator="equal" aboveAverage="0" equalAverage="0" bottom="0" percent="0" rank="0" text="" dxfId="4">
      <formula>"HT"</formula>
    </cfRule>
    <cfRule type="cellIs" priority="3" operator="equal" aboveAverage="0" equalAverage="0" bottom="0" percent="0" rank="0" text="" dxfId="4">
      <formula>"RT"</formula>
    </cfRule>
    <cfRule type="cellIs" priority="4" operator="equal" aboveAverage="0" equalAverage="0" bottom="0" percent="0" rank="0" text="" dxfId="5">
      <formula>"Yİ"</formula>
    </cfRule>
    <cfRule type="cellIs" priority="5" operator="equal" aboveAverage="0" equalAverage="0" bottom="0" percent="0" rank="0" text="" dxfId="2">
      <formula>"R"</formula>
    </cfRule>
    <cfRule type="cellIs" priority="6" operator="equal" aboveAverage="0" equalAverage="0" bottom="0" percent="0" rank="0" text="" dxfId="2">
      <formula>"Üİ"</formula>
    </cfRule>
    <cfRule type="cellIs" priority="7" operator="equal" aboveAverage="0" equalAverage="0" bottom="0" percent="0" rank="0" text="" dxfId="6">
      <formula>"Mİ"</formula>
    </cfRule>
    <cfRule type="cellIs" priority="8" operator="equal" aboveAverage="0" equalAverage="0" bottom="0" percent="0" rank="0" text="" dxfId="7">
      <formula>"D"</formula>
    </cfRule>
    <cfRule type="expression" priority="9" aboveAverage="0" equalAverage="0" bottom="0" percent="0" rank="0" text="" dxfId="8">
      <formula>AND(ISNUMBER(D11),D11&gt;Ayarlar!$B$6)</formula>
    </cfRule>
  </conditionalFormatting>
  <conditionalFormatting sqref="D8:AH9">
    <cfRule type="expression" priority="10" aboveAverage="0" equalAverage="0" bottom="0" percent="0" rank="0" text="" dxfId="9">
      <formula>AND(D$8&lt;&gt;"",WEEKDAY(D$8,2)&gt;=6)</formula>
    </cfRule>
  </conditionalFormatting>
  <conditionalFormatting sqref="D8:AH41">
    <cfRule type="expression" priority="11" aboveAverage="0" equalAverage="0" bottom="0" percent="0" rank="0" text="" dxfId="10">
      <formula>D$8=""</formula>
    </cfRule>
  </conditionalFormatting>
  <conditionalFormatting sqref="AR11:AR40">
    <cfRule type="cellIs" priority="12" operator="notEqual" aboveAverage="0" equalAverage="0" bottom="0" percent="0" rank="0" text="" dxfId="11">
      <formula>""</formula>
    </cfRule>
  </conditionalFormatting>
  <conditionalFormatting sqref="AK11:AK40">
    <cfRule type="dataBar" priority="13">
      <dataBar showValue="1" minLength="10" maxLength="90">
        <cfvo type="num" val="0"/>
        <cfvo type="max" val="0"/>
        <color rgb="FFC2410C"/>
      </dataBar>
      <extLst>
        <ext xmlns:x14="http://schemas.microsoft.com/office/spreadsheetml/2009/9/main" uri="{B025F937-C7B1-47D3-B67F-A62EFF666E3E}">
          <x14:id>{0088F6BB-A84E-4771-BB2E-D09898D0EA37}</x14:id>
        </ext>
      </extLst>
    </cfRule>
  </conditionalFormatting>
  <hyperlinks>
    <hyperlink ref="A7" location="'Dashboard'!A1" display="Dashboard"/>
    <hyperlink ref="B7" location="'Puantaj'!A1" display="·  Puantaj"/>
    <hyperlink ref="C7" location="'Ayarlar'!A1" display="·  Ayarlar"/>
    <hyperlink ref="D7" location="'Nasıl kullanılır'!A1" display="·  Nasıl kullanılır"/>
  </hyperlink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&amp;K64748bTAKMOS · takmoserp.com&amp;C&amp;8 &amp;K64748bÖrnek veriler kurgusaldır&amp;R&amp;8 &amp;K64748bSayfa &amp;P / &amp;N</oddFooter>
  </headerFooter>
  <legacyDrawing r:id="rId2"/>
  <extLst>
    <ext xmlns:x14="http://schemas.microsoft.com/office/spreadsheetml/2009/9/main" uri="{78C0D931-6437-407d-A8EE-F0AAD7539E65}">
      <x14:conditionalFormattings>
        <x14:conditionalFormatting xmlns:xm="http://schemas.microsoft.com/office/excel/2006/main">
          <x14:cfRule type="dataBar" id="{0088F6BB-A84E-4771-BB2E-D09898D0EA37}">
            <x14:dataBar minLength="10" maxLength="90" axisPosition="none" gradient="true">
              <x14:cfvo type="num">
                <xm:f>0</xm:f>
              </x14:cfvo>
              <x14:cfvo type="max"/>
              <x14:negativeFillColor rgb="FFC2410C"/>
              <x14:axisColor rgb="FF000000"/>
            </x14:dataBar>
          </x14:cfRule>
          <xm:sqref>AK11:AK40</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4" min="4" style="0" width="8"/>
    <col collapsed="false" customWidth="true" hidden="false" outlineLevel="0" max="5" min="5" style="0" width="22"/>
    <col collapsed="false" customWidth="true" hidden="false" outlineLevel="0" max="6" min="6" style="0" width="18"/>
  </cols>
  <sheetData>
    <row r="1" customFormat="false" ht="33.75" hidden="false" customHeight="true" outlineLevel="0" collapsed="false">
      <c r="A1" s="20" t="s">
        <v>161</v>
      </c>
      <c r="B1" s="20"/>
      <c r="C1" s="20"/>
      <c r="D1" s="20"/>
      <c r="E1" s="20"/>
      <c r="F1" s="20"/>
    </row>
    <row r="2" customFormat="false" ht="19.5" hidden="false" customHeight="true" outlineLevel="0" collapsed="false">
      <c r="A2" s="22" t="s">
        <v>162</v>
      </c>
      <c r="B2" s="22"/>
      <c r="C2" s="22"/>
      <c r="D2" s="22"/>
      <c r="E2" s="22"/>
      <c r="F2" s="22"/>
    </row>
    <row r="3" customFormat="false" ht="15" hidden="false" customHeight="false" outlineLevel="0" collapsed="false">
      <c r="A3" s="52" t="s">
        <v>29</v>
      </c>
      <c r="B3" s="52" t="s">
        <v>30</v>
      </c>
      <c r="C3" s="53" t="s">
        <v>31</v>
      </c>
      <c r="D3" s="52" t="s">
        <v>32</v>
      </c>
    </row>
    <row r="4" customFormat="false" ht="23.85" hidden="false" customHeight="false" outlineLevel="0" collapsed="false">
      <c r="A4" s="37" t="s">
        <v>163</v>
      </c>
      <c r="B4" s="37" t="s">
        <v>46</v>
      </c>
      <c r="D4" s="37" t="s">
        <v>164</v>
      </c>
      <c r="E4" s="37" t="s">
        <v>165</v>
      </c>
      <c r="F4" s="37" t="s">
        <v>166</v>
      </c>
    </row>
    <row r="5" customFormat="false" ht="15" hidden="false" customHeight="false" outlineLevel="0" collapsed="false">
      <c r="A5" s="77" t="s">
        <v>167</v>
      </c>
      <c r="B5" s="78" t="n">
        <v>46296</v>
      </c>
      <c r="D5" s="79" t="s">
        <v>83</v>
      </c>
      <c r="E5" s="80" t="s">
        <v>75</v>
      </c>
      <c r="F5" s="64" t="s">
        <v>168</v>
      </c>
    </row>
    <row r="6" customFormat="false" ht="15" hidden="false" customHeight="false" outlineLevel="0" collapsed="false">
      <c r="A6" s="77" t="s">
        <v>169</v>
      </c>
      <c r="B6" s="81" t="n">
        <v>7.5</v>
      </c>
      <c r="D6" s="79" t="s">
        <v>86</v>
      </c>
      <c r="E6" s="80" t="s">
        <v>170</v>
      </c>
      <c r="F6" s="64" t="s">
        <v>168</v>
      </c>
    </row>
    <row r="7" customFormat="false" ht="15" hidden="false" customHeight="false" outlineLevel="0" collapsed="false">
      <c r="A7" s="77" t="s">
        <v>171</v>
      </c>
      <c r="B7" s="82" t="n">
        <v>45</v>
      </c>
      <c r="D7" s="83" t="s">
        <v>84</v>
      </c>
      <c r="E7" s="80" t="s">
        <v>76</v>
      </c>
      <c r="F7" s="64" t="s">
        <v>168</v>
      </c>
    </row>
    <row r="8" customFormat="false" ht="15" hidden="false" customHeight="false" outlineLevel="0" collapsed="false">
      <c r="A8" s="77" t="s">
        <v>172</v>
      </c>
      <c r="B8" s="82" t="n">
        <v>30</v>
      </c>
      <c r="D8" s="84" t="s">
        <v>90</v>
      </c>
      <c r="E8" s="80" t="s">
        <v>77</v>
      </c>
      <c r="F8" s="64" t="s">
        <v>173</v>
      </c>
    </row>
    <row r="9" customFormat="false" ht="15" hidden="false" customHeight="false" outlineLevel="0" collapsed="false">
      <c r="A9" s="77" t="s">
        <v>49</v>
      </c>
      <c r="B9" s="82" t="n">
        <v>270</v>
      </c>
      <c r="D9" s="84" t="s">
        <v>174</v>
      </c>
      <c r="E9" s="80" t="s">
        <v>78</v>
      </c>
      <c r="F9" s="64" t="s">
        <v>175</v>
      </c>
    </row>
    <row r="10" customFormat="false" ht="15" hidden="false" customHeight="false" outlineLevel="0" collapsed="false">
      <c r="A10" s="77" t="s">
        <v>69</v>
      </c>
      <c r="B10" s="85" t="s">
        <v>176</v>
      </c>
      <c r="D10" s="86" t="s">
        <v>150</v>
      </c>
      <c r="E10" s="80" t="s">
        <v>177</v>
      </c>
      <c r="F10" s="64" t="s">
        <v>168</v>
      </c>
    </row>
    <row r="11" customFormat="false" ht="15" hidden="false" customHeight="false" outlineLevel="0" collapsed="false">
      <c r="D11" s="87" t="s">
        <v>85</v>
      </c>
      <c r="E11" s="80" t="s">
        <v>36</v>
      </c>
      <c r="F11" s="64" t="s">
        <v>175</v>
      </c>
    </row>
  </sheetData>
  <sheetProtection sheet="true" formatCells="false" formatColumns="false" formatRows="false" insertRows="false" deleteRows="false" sort="false" autoFilter="false"/>
  <mergeCells count="2">
    <mergeCell ref="A1:F1"/>
    <mergeCell ref="A2:F2"/>
  </mergeCells>
  <hyperlinks>
    <hyperlink ref="A3" location="'Dashboard'!A1" display="Dashboard"/>
    <hyperlink ref="B3" location="'Puantaj'!A1" display="·  Puantaj"/>
    <hyperlink ref="C3" location="'Ayarlar'!A1" display="·  Ayarlar"/>
    <hyperlink ref="D3" location="'Nasıl kullanılır'!A1" display="·  Nasıl kullanılır"/>
  </hyperlink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&amp;K64748bTAKMOS · takmoserp.com&amp;C&amp;8 &amp;K64748bÖrnek veriler kurgusaldır&amp;R&amp;8 &amp;K64748bSayfa &amp;P /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4748B"/>
    <pageSetUpPr fitToPage="true"/>
  </sheetPr>
  <dimension ref="A1:B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2"/>
  </cols>
  <sheetData>
    <row r="1" customFormat="false" ht="33.75" hidden="false" customHeight="true" outlineLevel="0" collapsed="false">
      <c r="A1" s="20" t="s">
        <v>178</v>
      </c>
      <c r="B1" s="20"/>
    </row>
    <row r="2" customFormat="false" ht="19.5" hidden="false" customHeight="true" outlineLevel="0" collapsed="false">
      <c r="A2" s="22" t="s">
        <v>179</v>
      </c>
      <c r="B2" s="22"/>
    </row>
    <row r="4" customFormat="false" ht="21.75" hidden="false" customHeight="true" outlineLevel="0" collapsed="false">
      <c r="B4" s="88" t="s">
        <v>180</v>
      </c>
    </row>
    <row r="5" customFormat="false" ht="30" hidden="false" customHeight="true" outlineLevel="0" collapsed="false">
      <c r="B5" s="89" t="s">
        <v>181</v>
      </c>
    </row>
    <row r="6" customFormat="false" ht="21.75" hidden="false" customHeight="true" outlineLevel="0" collapsed="false">
      <c r="B6" s="88" t="s">
        <v>182</v>
      </c>
    </row>
    <row r="7" customFormat="false" ht="30" hidden="false" customHeight="true" outlineLevel="0" collapsed="false">
      <c r="B7" s="89" t="s">
        <v>183</v>
      </c>
    </row>
    <row r="8" customFormat="false" ht="45" hidden="false" customHeight="true" outlineLevel="0" collapsed="false">
      <c r="B8" s="89" t="s">
        <v>184</v>
      </c>
    </row>
    <row r="9" customFormat="false" ht="30" hidden="false" customHeight="true" outlineLevel="0" collapsed="false">
      <c r="B9" s="89" t="s">
        <v>185</v>
      </c>
    </row>
    <row r="10" customFormat="false" ht="30" hidden="false" customHeight="true" outlineLevel="0" collapsed="false">
      <c r="B10" s="89" t="s">
        <v>186</v>
      </c>
    </row>
    <row r="11" customFormat="false" ht="30" hidden="false" customHeight="true" outlineLevel="0" collapsed="false">
      <c r="B11" s="89" t="s">
        <v>187</v>
      </c>
    </row>
    <row r="12" customFormat="false" ht="21.75" hidden="false" customHeight="true" outlineLevel="0" collapsed="false">
      <c r="B12" s="88" t="s">
        <v>188</v>
      </c>
    </row>
    <row r="13" customFormat="false" ht="30" hidden="false" customHeight="true" outlineLevel="0" collapsed="false">
      <c r="B13" s="89" t="s">
        <v>189</v>
      </c>
    </row>
    <row r="15" customFormat="false" ht="15" hidden="false" customHeight="false" outlineLevel="0" collapsed="false">
      <c r="B15" s="88" t="s">
        <v>190</v>
      </c>
    </row>
    <row r="16" customFormat="false" ht="15" hidden="false" customHeight="false" outlineLevel="0" collapsed="false">
      <c r="A16" s="11"/>
      <c r="B16" s="66" t="s">
        <v>191</v>
      </c>
    </row>
    <row r="17" customFormat="false" ht="15" hidden="false" customHeight="false" outlineLevel="0" collapsed="false">
      <c r="A17" s="14"/>
      <c r="B17" s="66" t="s">
        <v>192</v>
      </c>
    </row>
    <row r="18" customFormat="false" ht="15" hidden="false" customHeight="false" outlineLevel="0" collapsed="false">
      <c r="A18" s="15"/>
      <c r="B18" s="66" t="s">
        <v>193</v>
      </c>
    </row>
    <row r="19" customFormat="false" ht="15" hidden="false" customHeight="false" outlineLevel="0" collapsed="false">
      <c r="A19" s="16"/>
      <c r="B19" s="66" t="s">
        <v>194</v>
      </c>
    </row>
    <row r="20" customFormat="false" ht="15" hidden="false" customHeight="false" outlineLevel="0" collapsed="false">
      <c r="A20" s="17"/>
      <c r="B20" s="66" t="s">
        <v>23</v>
      </c>
    </row>
    <row r="22" customFormat="false" ht="30" hidden="false" customHeight="true" outlineLevel="0" collapsed="false">
      <c r="B22" s="90" t="s">
        <v>195</v>
      </c>
    </row>
  </sheetData>
  <mergeCells count="2">
    <mergeCell ref="A1:B1"/>
    <mergeCell ref="A2:B2"/>
  </mergeCell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196</v>
      </c>
      <c r="B1" s="0" t="s">
        <v>197</v>
      </c>
      <c r="C1" s="0" t="s">
        <v>198</v>
      </c>
      <c r="E1" s="0" t="s">
        <v>164</v>
      </c>
      <c r="F1" s="0" t="s">
        <v>196</v>
      </c>
      <c r="H1" s="0" t="s">
        <v>58</v>
      </c>
      <c r="I1" s="0" t="s">
        <v>74</v>
      </c>
      <c r="K1" s="0" t="s">
        <v>199</v>
      </c>
      <c r="L1" s="0" t="s">
        <v>58</v>
      </c>
      <c r="M1" s="0" t="s">
        <v>74</v>
      </c>
      <c r="O1" s="0" t="s">
        <v>200</v>
      </c>
      <c r="P1" s="0" t="s">
        <v>73</v>
      </c>
      <c r="Q1" s="0" t="s">
        <v>201</v>
      </c>
    </row>
    <row r="2" customFormat="false" ht="15" hidden="false" customHeight="false" outlineLevel="0" collapsed="false">
      <c r="A2" s="0" t="n">
        <f aca="false">IF(Puantaj!D8="","",DAY(Puantaj!D8))</f>
        <v>1</v>
      </c>
      <c r="B2" s="0" t="n">
        <f aca="false">IF(Puantaj!D8="",0,Puantaj!D41)</f>
        <v>28</v>
      </c>
      <c r="C2" s="0" t="n">
        <f aca="false">IF(Puantaj!D8="",0,IF(WEEKDAY(Puantaj!D8,2)=7,0,COUNTA(Puantaj!$A$11:$A$40)))</f>
        <v>30</v>
      </c>
      <c r="E2" s="0" t="s">
        <v>76</v>
      </c>
      <c r="F2" s="0" t="n">
        <f aca="false">COUNTIF(Puantaj!D11:AH40,"Yİ")</f>
        <v>16</v>
      </c>
      <c r="H2" s="0" t="str">
        <f aca="false">Puantaj!B11</f>
        <v>Ayşe Demir</v>
      </c>
      <c r="I2" s="91" t="n">
        <f aca="false">Puantaj!AK11</f>
        <v>4</v>
      </c>
      <c r="J2" s="0" t="n">
        <f aca="false">I2+ROW()/100000</f>
        <v>4.00002</v>
      </c>
      <c r="K2" s="0" t="n">
        <v>1</v>
      </c>
      <c r="L2" s="0" t="str">
        <f aca="false">INDEX($H$2:$H$31,MATCH(N2,$J$2:$J$31,0))</f>
        <v>Elif Yıldız</v>
      </c>
      <c r="M2" s="0" t="n">
        <f aca="false">ROUND(N2,1)</f>
        <v>29</v>
      </c>
      <c r="N2" s="0" t="n">
        <f aca="false">LARGE($J$2:$J$31,1)</f>
        <v>29.00004</v>
      </c>
      <c r="O2" s="0" t="s">
        <v>202</v>
      </c>
      <c r="P2" s="0" t="n">
        <f aca="false">SUM(Puantaj!D11:J40)</f>
        <v>1353.5</v>
      </c>
      <c r="Q2" s="0" t="n">
        <f aca="false">ROUND(COUNT(Puantaj!D8:J8)/7*Ayarlar!$B$7*COUNTA(Puantaj!A11:A40),0)</f>
        <v>1350</v>
      </c>
      <c r="S2" s="0" t="n">
        <f aca="false">0+((Puantaj!$AR11&lt;&gt;"")*1)</f>
        <v>1</v>
      </c>
    </row>
    <row r="3" customFormat="false" ht="15" hidden="false" customHeight="false" outlineLevel="0" collapsed="false">
      <c r="A3" s="0" t="n">
        <f aca="false">IF(Puantaj!E8="","",DAY(Puantaj!E8))</f>
        <v>2</v>
      </c>
      <c r="B3" s="0" t="n">
        <f aca="false">IF(Puantaj!E8="",0,Puantaj!E41)</f>
        <v>28</v>
      </c>
      <c r="C3" s="0" t="n">
        <f aca="false">IF(Puantaj!E8="",0,IF(WEEKDAY(Puantaj!E8,2)=7,0,COUNTA(Puantaj!$A$11:$A$40)))</f>
        <v>30</v>
      </c>
      <c r="E3" s="0" t="s">
        <v>77</v>
      </c>
      <c r="F3" s="0" t="n">
        <f aca="false">COUNTIF(Puantaj!D11:AH40,"R")</f>
        <v>6</v>
      </c>
      <c r="H3" s="0" t="str">
        <f aca="false">Puantaj!B12</f>
        <v>Mehmet Kaya</v>
      </c>
      <c r="I3" s="91" t="n">
        <f aca="false">Puantaj!AK12</f>
        <v>9</v>
      </c>
      <c r="J3" s="0" t="n">
        <f aca="false">I3+ROW()/100000</f>
        <v>9.00003</v>
      </c>
      <c r="K3" s="0" t="n">
        <v>2</v>
      </c>
      <c r="L3" s="0" t="str">
        <f aca="false">INDEX($H$2:$H$31,MATCH(N3,$J$2:$J$31,0))</f>
        <v>Kerem Uçar</v>
      </c>
      <c r="M3" s="0" t="n">
        <f aca="false">ROUND(N3,1)</f>
        <v>25</v>
      </c>
      <c r="N3" s="0" t="n">
        <f aca="false">LARGE($J$2:$J$31,2)</f>
        <v>25.00019</v>
      </c>
      <c r="O3" s="0" t="s">
        <v>203</v>
      </c>
      <c r="P3" s="0" t="n">
        <f aca="false">SUM(Puantaj!K11:Q40)</f>
        <v>1326</v>
      </c>
      <c r="Q3" s="0" t="n">
        <f aca="false">ROUND(COUNT(Puantaj!K8:Q8)/7*Ayarlar!$B$7*COUNTA(Puantaj!A11:A40),0)</f>
        <v>1350</v>
      </c>
      <c r="S3" s="0" t="n">
        <f aca="false">S2+((Puantaj!$AR12&lt;&gt;"")*1)</f>
        <v>1</v>
      </c>
    </row>
    <row r="4" customFormat="false" ht="15" hidden="false" customHeight="false" outlineLevel="0" collapsed="false">
      <c r="A4" s="0" t="n">
        <f aca="false">IF(Puantaj!F8="","",DAY(Puantaj!F8))</f>
        <v>3</v>
      </c>
      <c r="B4" s="0" t="n">
        <f aca="false">IF(Puantaj!F8="",0,Puantaj!F41)</f>
        <v>22</v>
      </c>
      <c r="C4" s="0" t="n">
        <f aca="false">IF(Puantaj!F8="",0,IF(WEEKDAY(Puantaj!F8,2)=7,0,COUNTA(Puantaj!$A$11:$A$40)))</f>
        <v>30</v>
      </c>
      <c r="E4" s="0" t="s">
        <v>78</v>
      </c>
      <c r="F4" s="0" t="n">
        <f aca="false">COUNTIF(Puantaj!D11:AH40,"Üİ")</f>
        <v>0</v>
      </c>
      <c r="H4" s="0" t="str">
        <f aca="false">Puantaj!B13</f>
        <v>Elif Yıldız</v>
      </c>
      <c r="I4" s="91" t="n">
        <f aca="false">Puantaj!AK13</f>
        <v>29</v>
      </c>
      <c r="J4" s="0" t="n">
        <f aca="false">I4+ROW()/100000</f>
        <v>29.00004</v>
      </c>
      <c r="K4" s="0" t="n">
        <v>3</v>
      </c>
      <c r="L4" s="0" t="str">
        <f aca="false">INDEX($H$2:$H$31,MATCH(N4,$J$2:$J$31,0))</f>
        <v>Büşra Erdem</v>
      </c>
      <c r="M4" s="0" t="n">
        <f aca="false">ROUND(N4,1)</f>
        <v>24</v>
      </c>
      <c r="N4" s="0" t="n">
        <f aca="false">LARGE($J$2:$J$31,3)</f>
        <v>24.00016</v>
      </c>
      <c r="O4" s="0" t="s">
        <v>204</v>
      </c>
      <c r="P4" s="0" t="n">
        <f aca="false">SUM(Puantaj!R11:X40)</f>
        <v>1338.5</v>
      </c>
      <c r="Q4" s="0" t="n">
        <f aca="false">ROUND(COUNT(Puantaj!R8:X8)/7*Ayarlar!$B$7*COUNTA(Puantaj!A11:A40),0)</f>
        <v>1350</v>
      </c>
      <c r="S4" s="0" t="n">
        <f aca="false">S3+((Puantaj!$AR13&lt;&gt;"")*1)</f>
        <v>1</v>
      </c>
    </row>
    <row r="5" customFormat="false" ht="15" hidden="false" customHeight="false" outlineLevel="0" collapsed="false">
      <c r="A5" s="0" t="n">
        <f aca="false">IF(Puantaj!G8="","",DAY(Puantaj!G8))</f>
        <v>4</v>
      </c>
      <c r="B5" s="0" t="n">
        <f aca="false">IF(Puantaj!G8="",0,Puantaj!G41)</f>
        <v>0</v>
      </c>
      <c r="C5" s="0" t="n">
        <f aca="false">IF(Puantaj!G8="",0,IF(WEEKDAY(Puantaj!G8,2)=7,0,COUNTA(Puantaj!$A$11:$A$40)))</f>
        <v>0</v>
      </c>
      <c r="E5" s="0" t="s">
        <v>177</v>
      </c>
      <c r="F5" s="0" t="n">
        <f aca="false">COUNTIF(Puantaj!D11:AH40,"Mİ")</f>
        <v>2</v>
      </c>
      <c r="H5" s="0" t="str">
        <f aca="false">Puantaj!B14</f>
        <v>Burak Çelik</v>
      </c>
      <c r="I5" s="91" t="n">
        <f aca="false">Puantaj!AK14</f>
        <v>14</v>
      </c>
      <c r="J5" s="0" t="n">
        <f aca="false">I5+ROW()/100000</f>
        <v>14.00005</v>
      </c>
      <c r="K5" s="0" t="n">
        <v>4</v>
      </c>
      <c r="L5" s="0" t="str">
        <f aca="false">INDEX($H$2:$H$31,MATCH(N5,$J$2:$J$31,0))</f>
        <v>Can Aydın</v>
      </c>
      <c r="M5" s="0" t="n">
        <f aca="false">ROUND(N5,1)</f>
        <v>24</v>
      </c>
      <c r="N5" s="0" t="n">
        <f aca="false">LARGE($J$2:$J$31,4)</f>
        <v>24.00009</v>
      </c>
      <c r="O5" s="0" t="s">
        <v>205</v>
      </c>
      <c r="P5" s="0" t="n">
        <f aca="false">SUM(Puantaj!Y11:AE40)</f>
        <v>1323</v>
      </c>
      <c r="Q5" s="0" t="n">
        <f aca="false">ROUND(COUNT(Puantaj!Y8:AE8)/7*Ayarlar!$B$7*COUNTA(Puantaj!A11:A40),0)</f>
        <v>1350</v>
      </c>
      <c r="S5" s="0" t="n">
        <f aca="false">S4+((Puantaj!$AR14&lt;&gt;"")*1)</f>
        <v>2</v>
      </c>
    </row>
    <row r="6" customFormat="false" ht="15" hidden="false" customHeight="false" outlineLevel="0" collapsed="false">
      <c r="A6" s="0" t="n">
        <f aca="false">IF(Puantaj!H8="","",DAY(Puantaj!H8))</f>
        <v>5</v>
      </c>
      <c r="B6" s="0" t="n">
        <f aca="false">IF(Puantaj!H8="",0,Puantaj!H41)</f>
        <v>30</v>
      </c>
      <c r="C6" s="0" t="n">
        <f aca="false">IF(Puantaj!H8="",0,IF(WEEKDAY(Puantaj!H8,2)=7,0,COUNTA(Puantaj!$A$11:$A$40)))</f>
        <v>30</v>
      </c>
      <c r="E6" s="0" t="s">
        <v>36</v>
      </c>
      <c r="F6" s="0" t="n">
        <f aca="false">COUNTIF(Puantaj!D11:AH40,"D")</f>
        <v>5</v>
      </c>
      <c r="H6" s="0" t="str">
        <f aca="false">Puantaj!B15</f>
        <v>Zeynep Arslan</v>
      </c>
      <c r="I6" s="91" t="n">
        <f aca="false">Puantaj!AK15</f>
        <v>3</v>
      </c>
      <c r="J6" s="0" t="n">
        <f aca="false">I6+ROW()/100000</f>
        <v>3.00006</v>
      </c>
      <c r="K6" s="0" t="n">
        <v>5</v>
      </c>
      <c r="L6" s="0" t="str">
        <f aca="false">INDEX($H$2:$H$31,MATCH(N6,$J$2:$J$31,0))</f>
        <v>Barış Kılıç</v>
      </c>
      <c r="M6" s="0" t="n">
        <f aca="false">ROUND(N6,1)</f>
        <v>21</v>
      </c>
      <c r="N6" s="0" t="n">
        <f aca="false">LARGE($J$2:$J$31,5)</f>
        <v>21.00021</v>
      </c>
      <c r="O6" s="0" t="s">
        <v>206</v>
      </c>
      <c r="P6" s="0" t="n">
        <f aca="false">SUM(Puantaj!AF11:AH40)</f>
        <v>431.5</v>
      </c>
      <c r="Q6" s="0" t="n">
        <f aca="false">ROUND(COUNT(Puantaj!AF8:AH8)/7*Ayarlar!$B$7*COUNTA(Puantaj!A11:A40),0)</f>
        <v>579</v>
      </c>
      <c r="S6" s="0" t="n">
        <f aca="false">S5+((Puantaj!$AR15&lt;&gt;"")*1)</f>
        <v>2</v>
      </c>
    </row>
    <row r="7" customFormat="false" ht="15" hidden="false" customHeight="false" outlineLevel="0" collapsed="false">
      <c r="A7" s="0" t="n">
        <f aca="false">IF(Puantaj!I8="","",DAY(Puantaj!I8))</f>
        <v>6</v>
      </c>
      <c r="B7" s="0" t="n">
        <f aca="false">IF(Puantaj!I8="",0,Puantaj!I41)</f>
        <v>29</v>
      </c>
      <c r="C7" s="0" t="n">
        <f aca="false">IF(Puantaj!I8="",0,IF(WEEKDAY(Puantaj!I8,2)=7,0,COUNTA(Puantaj!$A$11:$A$40)))</f>
        <v>30</v>
      </c>
      <c r="H7" s="0" t="str">
        <f aca="false">Puantaj!B16</f>
        <v>Emre Şahin</v>
      </c>
      <c r="I7" s="91" t="n">
        <f aca="false">Puantaj!AK16</f>
        <v>12</v>
      </c>
      <c r="J7" s="0" t="n">
        <f aca="false">I7+ROW()/100000</f>
        <v>12.00007</v>
      </c>
      <c r="K7" s="0" t="n">
        <v>6</v>
      </c>
      <c r="L7" s="0" t="str">
        <f aca="false">INDEX($H$2:$H$31,MATCH(N7,$J$2:$J$31,0))</f>
        <v>Gamze Polat</v>
      </c>
      <c r="M7" s="0" t="n">
        <f aca="false">ROUND(N7,1)</f>
        <v>21</v>
      </c>
      <c r="N7" s="0" t="n">
        <f aca="false">LARGE($J$2:$J$31,6)</f>
        <v>21.00014</v>
      </c>
      <c r="S7" s="0" t="n">
        <f aca="false">S6+((Puantaj!$AR16&lt;&gt;"")*1)</f>
        <v>2</v>
      </c>
    </row>
    <row r="8" customFormat="false" ht="15" hidden="false" customHeight="false" outlineLevel="0" collapsed="false">
      <c r="A8" s="0" t="n">
        <f aca="false">IF(Puantaj!J8="","",DAY(Puantaj!J8))</f>
        <v>7</v>
      </c>
      <c r="B8" s="0" t="n">
        <f aca="false">IF(Puantaj!J8="",0,Puantaj!J41)</f>
        <v>30</v>
      </c>
      <c r="C8" s="0" t="n">
        <f aca="false">IF(Puantaj!J8="",0,IF(WEEKDAY(Puantaj!J8,2)=7,0,COUNTA(Puantaj!$A$11:$A$40)))</f>
        <v>30</v>
      </c>
      <c r="H8" s="0" t="str">
        <f aca="false">Puantaj!B17</f>
        <v>Merve Koç</v>
      </c>
      <c r="I8" s="91" t="n">
        <f aca="false">Puantaj!AK17</f>
        <v>16</v>
      </c>
      <c r="J8" s="0" t="n">
        <f aca="false">I8+ROW()/100000</f>
        <v>16.00008</v>
      </c>
      <c r="K8" s="0" t="n">
        <v>7</v>
      </c>
      <c r="L8" s="0" t="str">
        <f aca="false">INDEX($H$2:$H$31,MATCH(N8,$J$2:$J$31,0))</f>
        <v>Murat Doğan</v>
      </c>
      <c r="M8" s="0" t="n">
        <f aca="false">ROUND(N8,1)</f>
        <v>21</v>
      </c>
      <c r="N8" s="0" t="n">
        <f aca="false">LARGE($J$2:$J$31,7)</f>
        <v>21.00011</v>
      </c>
      <c r="S8" s="0" t="n">
        <f aca="false">S7+((Puantaj!$AR17&lt;&gt;"")*1)</f>
        <v>2</v>
      </c>
    </row>
    <row r="9" customFormat="false" ht="15" hidden="false" customHeight="false" outlineLevel="0" collapsed="false">
      <c r="A9" s="0" t="n">
        <f aca="false">IF(Puantaj!K8="","",DAY(Puantaj!K8))</f>
        <v>8</v>
      </c>
      <c r="B9" s="0" t="n">
        <f aca="false">IF(Puantaj!K8="",0,Puantaj!K41)</f>
        <v>30</v>
      </c>
      <c r="C9" s="0" t="n">
        <f aca="false">IF(Puantaj!K8="",0,IF(WEEKDAY(Puantaj!K8,2)=7,0,COUNTA(Puantaj!$A$11:$A$40)))</f>
        <v>30</v>
      </c>
      <c r="H9" s="0" t="str">
        <f aca="false">Puantaj!B18</f>
        <v>Can Aydın</v>
      </c>
      <c r="I9" s="91" t="n">
        <f aca="false">Puantaj!AK18</f>
        <v>24</v>
      </c>
      <c r="J9" s="0" t="n">
        <f aca="false">I9+ROW()/100000</f>
        <v>24.00009</v>
      </c>
      <c r="K9" s="0" t="n">
        <v>8</v>
      </c>
      <c r="L9" s="0" t="str">
        <f aca="false">INDEX($H$2:$H$31,MATCH(N9,$J$2:$J$31,0))</f>
        <v>Deniz Koru</v>
      </c>
      <c r="M9" s="0" t="n">
        <f aca="false">ROUND(N9,1)</f>
        <v>20</v>
      </c>
      <c r="N9" s="0" t="n">
        <f aca="false">LARGE($J$2:$J$31,8)</f>
        <v>20.00029</v>
      </c>
      <c r="S9" s="0" t="n">
        <f aca="false">S8+((Puantaj!$AR18&lt;&gt;"")*1)</f>
        <v>2</v>
      </c>
    </row>
    <row r="10" customFormat="false" ht="15" hidden="false" customHeight="false" outlineLevel="0" collapsed="false">
      <c r="A10" s="0" t="n">
        <f aca="false">IF(Puantaj!L8="","",DAY(Puantaj!L8))</f>
        <v>9</v>
      </c>
      <c r="B10" s="0" t="n">
        <f aca="false">IF(Puantaj!L8="",0,Puantaj!L41)</f>
        <v>29</v>
      </c>
      <c r="C10" s="0" t="n">
        <f aca="false">IF(Puantaj!L8="",0,IF(WEEKDAY(Puantaj!L8,2)=7,0,COUNTA(Puantaj!$A$11:$A$40)))</f>
        <v>30</v>
      </c>
      <c r="H10" s="0" t="str">
        <f aca="false">Puantaj!B19</f>
        <v>Selin Öztürk</v>
      </c>
      <c r="I10" s="91" t="n">
        <f aca="false">Puantaj!AK19</f>
        <v>19</v>
      </c>
      <c r="J10" s="0" t="n">
        <f aca="false">I10+ROW()/100000</f>
        <v>19.0001</v>
      </c>
      <c r="K10" s="0" t="n">
        <v>9</v>
      </c>
      <c r="L10" s="0" t="str">
        <f aca="false">INDEX($H$2:$H$31,MATCH(N10,$J$2:$J$31,0))</f>
        <v>Sibel Taş</v>
      </c>
      <c r="M10" s="0" t="n">
        <f aca="false">ROUND(N10,1)</f>
        <v>20</v>
      </c>
      <c r="N10" s="0" t="n">
        <f aca="false">LARGE($J$2:$J$31,9)</f>
        <v>20.00024</v>
      </c>
      <c r="S10" s="0" t="n">
        <f aca="false">S9+((Puantaj!$AR19&lt;&gt;"")*1)</f>
        <v>2</v>
      </c>
    </row>
    <row r="11" customFormat="false" ht="15" hidden="false" customHeight="false" outlineLevel="0" collapsed="false">
      <c r="A11" s="0" t="n">
        <f aca="false">IF(Puantaj!M8="","",DAY(Puantaj!M8))</f>
        <v>10</v>
      </c>
      <c r="B11" s="0" t="n">
        <f aca="false">IF(Puantaj!M8="",0,Puantaj!M41)</f>
        <v>18</v>
      </c>
      <c r="C11" s="0" t="n">
        <f aca="false">IF(Puantaj!M8="",0,IF(WEEKDAY(Puantaj!M8,2)=7,0,COUNTA(Puantaj!$A$11:$A$40)))</f>
        <v>30</v>
      </c>
      <c r="H11" s="0" t="str">
        <f aca="false">Puantaj!B20</f>
        <v>Murat Doğan</v>
      </c>
      <c r="I11" s="91" t="n">
        <f aca="false">Puantaj!AK20</f>
        <v>21</v>
      </c>
      <c r="J11" s="0" t="n">
        <f aca="false">I11+ROW()/100000</f>
        <v>21.00011</v>
      </c>
      <c r="K11" s="0" t="n">
        <v>10</v>
      </c>
      <c r="L11" s="0" t="str">
        <f aca="false">INDEX($H$2:$H$31,MATCH(N11,$J$2:$J$31,0))</f>
        <v>Tolga Güneş</v>
      </c>
      <c r="M11" s="0" t="n">
        <f aca="false">ROUND(N11,1)</f>
        <v>20</v>
      </c>
      <c r="N11" s="0" t="n">
        <f aca="false">LARGE($J$2:$J$31,10)</f>
        <v>20.00017</v>
      </c>
      <c r="S11" s="0" t="n">
        <f aca="false">S10+((Puantaj!$AR20&lt;&gt;"")*1)</f>
        <v>2</v>
      </c>
    </row>
    <row r="12" customFormat="false" ht="15" hidden="false" customHeight="false" outlineLevel="0" collapsed="false">
      <c r="A12" s="0" t="n">
        <f aca="false">IF(Puantaj!N8="","",DAY(Puantaj!N8))</f>
        <v>11</v>
      </c>
      <c r="B12" s="0" t="n">
        <f aca="false">IF(Puantaj!N8="",0,Puantaj!N41)</f>
        <v>0</v>
      </c>
      <c r="C12" s="0" t="n">
        <f aca="false">IF(Puantaj!N8="",0,IF(WEEKDAY(Puantaj!N8,2)=7,0,COUNTA(Puantaj!$A$11:$A$40)))</f>
        <v>0</v>
      </c>
      <c r="H12" s="0" t="str">
        <f aca="false">Puantaj!B21</f>
        <v>Derya Kurt</v>
      </c>
      <c r="I12" s="91" t="n">
        <f aca="false">Puantaj!AK21</f>
        <v>18</v>
      </c>
      <c r="J12" s="0" t="n">
        <f aca="false">I12+ROW()/100000</f>
        <v>18.00012</v>
      </c>
      <c r="S12" s="0" t="n">
        <f aca="false">S11+((Puantaj!$AR21&lt;&gt;"")*1)</f>
        <v>2</v>
      </c>
    </row>
    <row r="13" customFormat="false" ht="15" hidden="false" customHeight="false" outlineLevel="0" collapsed="false">
      <c r="A13" s="0" t="n">
        <f aca="false">IF(Puantaj!O8="","",DAY(Puantaj!O8))</f>
        <v>12</v>
      </c>
      <c r="B13" s="0" t="n">
        <f aca="false">IF(Puantaj!O8="",0,Puantaj!O41)</f>
        <v>29</v>
      </c>
      <c r="C13" s="0" t="n">
        <f aca="false">IF(Puantaj!O8="",0,IF(WEEKDAY(Puantaj!O8,2)=7,0,COUNTA(Puantaj!$A$11:$A$40)))</f>
        <v>30</v>
      </c>
      <c r="H13" s="0" t="str">
        <f aca="false">Puantaj!B22</f>
        <v>Okan Yılmaz</v>
      </c>
      <c r="I13" s="91" t="n">
        <f aca="false">Puantaj!AK22</f>
        <v>7</v>
      </c>
      <c r="J13" s="0" t="n">
        <f aca="false">I13+ROW()/100000</f>
        <v>7.00013</v>
      </c>
      <c r="S13" s="0" t="n">
        <f aca="false">S12+((Puantaj!$AR22&lt;&gt;"")*1)</f>
        <v>2</v>
      </c>
    </row>
    <row r="14" customFormat="false" ht="15" hidden="false" customHeight="false" outlineLevel="0" collapsed="false">
      <c r="A14" s="0" t="n">
        <f aca="false">IF(Puantaj!P8="","",DAY(Puantaj!P8))</f>
        <v>13</v>
      </c>
      <c r="B14" s="0" t="n">
        <f aca="false">IF(Puantaj!P8="",0,Puantaj!P41)</f>
        <v>28</v>
      </c>
      <c r="C14" s="0" t="n">
        <f aca="false">IF(Puantaj!P8="",0,IF(WEEKDAY(Puantaj!P8,2)=7,0,COUNTA(Puantaj!$A$11:$A$40)))</f>
        <v>30</v>
      </c>
      <c r="H14" s="0" t="str">
        <f aca="false">Puantaj!B23</f>
        <v>Gamze Polat</v>
      </c>
      <c r="I14" s="91" t="n">
        <f aca="false">Puantaj!AK23</f>
        <v>21</v>
      </c>
      <c r="J14" s="0" t="n">
        <f aca="false">I14+ROW()/100000</f>
        <v>21.00014</v>
      </c>
      <c r="S14" s="0" t="n">
        <f aca="false">S13+((Puantaj!$AR23&lt;&gt;"")*1)</f>
        <v>3</v>
      </c>
    </row>
    <row r="15" customFormat="false" ht="15" hidden="false" customHeight="false" outlineLevel="0" collapsed="false">
      <c r="A15" s="0" t="n">
        <f aca="false">IF(Puantaj!Q8="","",DAY(Puantaj!Q8))</f>
        <v>14</v>
      </c>
      <c r="B15" s="0" t="n">
        <f aca="false">IF(Puantaj!Q8="",0,Puantaj!Q41)</f>
        <v>28</v>
      </c>
      <c r="C15" s="0" t="n">
        <f aca="false">IF(Puantaj!Q8="",0,IF(WEEKDAY(Puantaj!Q8,2)=7,0,COUNTA(Puantaj!$A$11:$A$40)))</f>
        <v>30</v>
      </c>
      <c r="H15" s="0" t="str">
        <f aca="false">Puantaj!B24</f>
        <v>Serkan Acar</v>
      </c>
      <c r="I15" s="91" t="n">
        <f aca="false">Puantaj!AK24</f>
        <v>8</v>
      </c>
      <c r="J15" s="0" t="n">
        <f aca="false">I15+ROW()/100000</f>
        <v>8.00015</v>
      </c>
      <c r="S15" s="0" t="n">
        <f aca="false">S14+((Puantaj!$AR24&lt;&gt;"")*1)</f>
        <v>3</v>
      </c>
    </row>
    <row r="16" customFormat="false" ht="15" hidden="false" customHeight="false" outlineLevel="0" collapsed="false">
      <c r="A16" s="0" t="n">
        <f aca="false">IF(Puantaj!R8="","",DAY(Puantaj!R8))</f>
        <v>15</v>
      </c>
      <c r="B16" s="0" t="n">
        <f aca="false">IF(Puantaj!R8="",0,Puantaj!R41)</f>
        <v>28</v>
      </c>
      <c r="C16" s="0" t="n">
        <f aca="false">IF(Puantaj!R8="",0,IF(WEEKDAY(Puantaj!R8,2)=7,0,COUNTA(Puantaj!$A$11:$A$40)))</f>
        <v>30</v>
      </c>
      <c r="H16" s="0" t="str">
        <f aca="false">Puantaj!B25</f>
        <v>Büşra Erdem</v>
      </c>
      <c r="I16" s="91" t="n">
        <f aca="false">Puantaj!AK25</f>
        <v>24</v>
      </c>
      <c r="J16" s="0" t="n">
        <f aca="false">I16+ROW()/100000</f>
        <v>24.00016</v>
      </c>
      <c r="S16" s="0" t="n">
        <f aca="false">S15+((Puantaj!$AR25&lt;&gt;"")*1)</f>
        <v>3</v>
      </c>
    </row>
    <row r="17" customFormat="false" ht="15" hidden="false" customHeight="false" outlineLevel="0" collapsed="false">
      <c r="A17" s="0" t="n">
        <f aca="false">IF(Puantaj!S8="","",DAY(Puantaj!S8))</f>
        <v>16</v>
      </c>
      <c r="B17" s="0" t="n">
        <f aca="false">IF(Puantaj!S8="",0,Puantaj!S41)</f>
        <v>30</v>
      </c>
      <c r="C17" s="0" t="n">
        <f aca="false">IF(Puantaj!S8="",0,IF(WEEKDAY(Puantaj!S8,2)=7,0,COUNTA(Puantaj!$A$11:$A$40)))</f>
        <v>30</v>
      </c>
      <c r="H17" s="0" t="str">
        <f aca="false">Puantaj!B26</f>
        <v>Tolga Güneş</v>
      </c>
      <c r="I17" s="91" t="n">
        <f aca="false">Puantaj!AK26</f>
        <v>20</v>
      </c>
      <c r="J17" s="0" t="n">
        <f aca="false">I17+ROW()/100000</f>
        <v>20.00017</v>
      </c>
      <c r="S17" s="0" t="n">
        <f aca="false">S16+((Puantaj!$AR26&lt;&gt;"")*1)</f>
        <v>3</v>
      </c>
    </row>
    <row r="18" customFormat="false" ht="15" hidden="false" customHeight="false" outlineLevel="0" collapsed="false">
      <c r="A18" s="0" t="n">
        <f aca="false">IF(Puantaj!T8="","",DAY(Puantaj!T8))</f>
        <v>17</v>
      </c>
      <c r="B18" s="0" t="n">
        <f aca="false">IF(Puantaj!T8="",0,Puantaj!T41)</f>
        <v>17</v>
      </c>
      <c r="C18" s="0" t="n">
        <f aca="false">IF(Puantaj!T8="",0,IF(WEEKDAY(Puantaj!T8,2)=7,0,COUNTA(Puantaj!$A$11:$A$40)))</f>
        <v>30</v>
      </c>
      <c r="H18" s="0" t="str">
        <f aca="false">Puantaj!B27</f>
        <v>Nur Aksoy</v>
      </c>
      <c r="I18" s="91" t="n">
        <f aca="false">Puantaj!AK27</f>
        <v>17</v>
      </c>
      <c r="J18" s="0" t="n">
        <f aca="false">I18+ROW()/100000</f>
        <v>17.00018</v>
      </c>
      <c r="S18" s="0" t="n">
        <f aca="false">S17+((Puantaj!$AR27&lt;&gt;"")*1)</f>
        <v>3</v>
      </c>
    </row>
    <row r="19" customFormat="false" ht="15" hidden="false" customHeight="false" outlineLevel="0" collapsed="false">
      <c r="A19" s="0" t="n">
        <f aca="false">IF(Puantaj!U8="","",DAY(Puantaj!U8))</f>
        <v>18</v>
      </c>
      <c r="B19" s="0" t="n">
        <f aca="false">IF(Puantaj!U8="",0,Puantaj!U41)</f>
        <v>0</v>
      </c>
      <c r="C19" s="0" t="n">
        <f aca="false">IF(Puantaj!U8="",0,IF(WEEKDAY(Puantaj!U8,2)=7,0,COUNTA(Puantaj!$A$11:$A$40)))</f>
        <v>0</v>
      </c>
      <c r="H19" s="0" t="str">
        <f aca="false">Puantaj!B28</f>
        <v>Kerem Uçar</v>
      </c>
      <c r="I19" s="91" t="n">
        <f aca="false">Puantaj!AK28</f>
        <v>25</v>
      </c>
      <c r="J19" s="0" t="n">
        <f aca="false">I19+ROW()/100000</f>
        <v>25.00019</v>
      </c>
      <c r="S19" s="0" t="n">
        <f aca="false">S18+((Puantaj!$AR28&lt;&gt;"")*1)</f>
        <v>3</v>
      </c>
    </row>
    <row r="20" customFormat="false" ht="15" hidden="false" customHeight="false" outlineLevel="0" collapsed="false">
      <c r="A20" s="0" t="n">
        <f aca="false">IF(Puantaj!V8="","",DAY(Puantaj!V8))</f>
        <v>19</v>
      </c>
      <c r="B20" s="0" t="n">
        <f aca="false">IF(Puantaj!V8="",0,Puantaj!V41)</f>
        <v>28</v>
      </c>
      <c r="C20" s="0" t="n">
        <f aca="false">IF(Puantaj!V8="",0,IF(WEEKDAY(Puantaj!V8,2)=7,0,COUNTA(Puantaj!$A$11:$A$40)))</f>
        <v>30</v>
      </c>
      <c r="H20" s="0" t="str">
        <f aca="false">Puantaj!B29</f>
        <v>Pınar Tekin</v>
      </c>
      <c r="I20" s="91" t="n">
        <f aca="false">Puantaj!AK29</f>
        <v>16</v>
      </c>
      <c r="J20" s="0" t="n">
        <f aca="false">I20+ROW()/100000</f>
        <v>16.0002</v>
      </c>
      <c r="S20" s="0" t="n">
        <f aca="false">S19+((Puantaj!$AR29&lt;&gt;"")*1)</f>
        <v>4</v>
      </c>
    </row>
    <row r="21" customFormat="false" ht="15" hidden="false" customHeight="false" outlineLevel="0" collapsed="false">
      <c r="A21" s="0" t="n">
        <f aca="false">IF(Puantaj!W8="","",DAY(Puantaj!W8))</f>
        <v>20</v>
      </c>
      <c r="B21" s="0" t="n">
        <f aca="false">IF(Puantaj!W8="",0,Puantaj!W41)</f>
        <v>30</v>
      </c>
      <c r="C21" s="0" t="n">
        <f aca="false">IF(Puantaj!W8="",0,IF(WEEKDAY(Puantaj!W8,2)=7,0,COUNTA(Puantaj!$A$11:$A$40)))</f>
        <v>30</v>
      </c>
      <c r="H21" s="0" t="str">
        <f aca="false">Puantaj!B30</f>
        <v>Barış Kılıç</v>
      </c>
      <c r="I21" s="91" t="n">
        <f aca="false">Puantaj!AK30</f>
        <v>21</v>
      </c>
      <c r="J21" s="0" t="n">
        <f aca="false">I21+ROW()/100000</f>
        <v>21.00021</v>
      </c>
      <c r="S21" s="0" t="n">
        <f aca="false">S20+((Puantaj!$AR30&lt;&gt;"")*1)</f>
        <v>4</v>
      </c>
    </row>
    <row r="22" customFormat="false" ht="15" hidden="false" customHeight="false" outlineLevel="0" collapsed="false">
      <c r="A22" s="0" t="n">
        <f aca="false">IF(Puantaj!X8="","",DAY(Puantaj!X8))</f>
        <v>21</v>
      </c>
      <c r="B22" s="0" t="n">
        <f aca="false">IF(Puantaj!X8="",0,Puantaj!X41)</f>
        <v>30</v>
      </c>
      <c r="C22" s="0" t="n">
        <f aca="false">IF(Puantaj!X8="",0,IF(WEEKDAY(Puantaj!X8,2)=7,0,COUNTA(Puantaj!$A$11:$A$40)))</f>
        <v>30</v>
      </c>
      <c r="H22" s="0" t="str">
        <f aca="false">Puantaj!B31</f>
        <v>Ece Karaca</v>
      </c>
      <c r="I22" s="91" t="n">
        <f aca="false">Puantaj!AK31</f>
        <v>10</v>
      </c>
      <c r="J22" s="0" t="n">
        <f aca="false">I22+ROW()/100000</f>
        <v>10.00022</v>
      </c>
      <c r="S22" s="0" t="n">
        <f aca="false">S21+((Puantaj!$AR31&lt;&gt;"")*1)</f>
        <v>4</v>
      </c>
    </row>
    <row r="23" customFormat="false" ht="15" hidden="false" customHeight="false" outlineLevel="0" collapsed="false">
      <c r="A23" s="0" t="n">
        <f aca="false">IF(Puantaj!Y8="","",DAY(Puantaj!Y8))</f>
        <v>22</v>
      </c>
      <c r="B23" s="0" t="n">
        <f aca="false">IF(Puantaj!Y8="",0,Puantaj!Y41)</f>
        <v>29</v>
      </c>
      <c r="C23" s="0" t="n">
        <f aca="false">IF(Puantaj!Y8="",0,IF(WEEKDAY(Puantaj!Y8,2)=7,0,COUNTA(Puantaj!$A$11:$A$40)))</f>
        <v>30</v>
      </c>
      <c r="H23" s="0" t="str">
        <f aca="false">Puantaj!B32</f>
        <v>Onur Bozkurt</v>
      </c>
      <c r="I23" s="91" t="n">
        <f aca="false">Puantaj!AK32</f>
        <v>14</v>
      </c>
      <c r="J23" s="0" t="n">
        <f aca="false">I23+ROW()/100000</f>
        <v>14.00023</v>
      </c>
      <c r="S23" s="0" t="n">
        <f aca="false">S22+((Puantaj!$AR32&lt;&gt;"")*1)</f>
        <v>4</v>
      </c>
    </row>
    <row r="24" customFormat="false" ht="15" hidden="false" customHeight="false" outlineLevel="0" collapsed="false">
      <c r="A24" s="0" t="n">
        <f aca="false">IF(Puantaj!Z8="","",DAY(Puantaj!Z8))</f>
        <v>23</v>
      </c>
      <c r="B24" s="0" t="n">
        <f aca="false">IF(Puantaj!Z8="",0,Puantaj!Z41)</f>
        <v>29</v>
      </c>
      <c r="C24" s="0" t="n">
        <f aca="false">IF(Puantaj!Z8="",0,IF(WEEKDAY(Puantaj!Z8,2)=7,0,COUNTA(Puantaj!$A$11:$A$40)))</f>
        <v>30</v>
      </c>
      <c r="H24" s="0" t="str">
        <f aca="false">Puantaj!B33</f>
        <v>Sibel Taş</v>
      </c>
      <c r="I24" s="91" t="n">
        <f aca="false">Puantaj!AK33</f>
        <v>20</v>
      </c>
      <c r="J24" s="0" t="n">
        <f aca="false">I24+ROW()/100000</f>
        <v>20.00024</v>
      </c>
      <c r="S24" s="0" t="n">
        <f aca="false">S23+((Puantaj!$AR33&lt;&gt;"")*1)</f>
        <v>4</v>
      </c>
    </row>
    <row r="25" customFormat="false" ht="15" hidden="false" customHeight="false" outlineLevel="0" collapsed="false">
      <c r="A25" s="0" t="n">
        <f aca="false">IF(Puantaj!AA8="","",DAY(Puantaj!AA8))</f>
        <v>24</v>
      </c>
      <c r="B25" s="0" t="n">
        <f aca="false">IF(Puantaj!AA8="",0,Puantaj!AA41)</f>
        <v>18</v>
      </c>
      <c r="C25" s="0" t="n">
        <f aca="false">IF(Puantaj!AA8="",0,IF(WEEKDAY(Puantaj!AA8,2)=7,0,COUNTA(Puantaj!$A$11:$A$40)))</f>
        <v>30</v>
      </c>
      <c r="H25" s="0" t="str">
        <f aca="false">Puantaj!B34</f>
        <v>Volkan Ergin</v>
      </c>
      <c r="I25" s="91" t="n">
        <f aca="false">Puantaj!AK34</f>
        <v>18</v>
      </c>
      <c r="J25" s="0" t="n">
        <f aca="false">I25+ROW()/100000</f>
        <v>18.00025</v>
      </c>
      <c r="S25" s="0" t="n">
        <f aca="false">S24+((Puantaj!$AR34&lt;&gt;"")*1)</f>
        <v>4</v>
      </c>
    </row>
    <row r="26" customFormat="false" ht="15" hidden="false" customHeight="false" outlineLevel="0" collapsed="false">
      <c r="A26" s="0" t="n">
        <f aca="false">IF(Puantaj!AB8="","",DAY(Puantaj!AB8))</f>
        <v>25</v>
      </c>
      <c r="B26" s="0" t="n">
        <f aca="false">IF(Puantaj!AB8="",0,Puantaj!AB41)</f>
        <v>0</v>
      </c>
      <c r="C26" s="0" t="n">
        <f aca="false">IF(Puantaj!AB8="",0,IF(WEEKDAY(Puantaj!AB8,2)=7,0,COUNTA(Puantaj!$A$11:$A$40)))</f>
        <v>0</v>
      </c>
      <c r="H26" s="0" t="str">
        <f aca="false">Puantaj!B35</f>
        <v>Hande Yavuz</v>
      </c>
      <c r="I26" s="91" t="n">
        <f aca="false">Puantaj!AK35</f>
        <v>8</v>
      </c>
      <c r="J26" s="0" t="n">
        <f aca="false">I26+ROW()/100000</f>
        <v>8.00026</v>
      </c>
      <c r="S26" s="0" t="n">
        <f aca="false">S25+((Puantaj!$AR35&lt;&gt;"")*1)</f>
        <v>4</v>
      </c>
    </row>
    <row r="27" customFormat="false" ht="15" hidden="false" customHeight="false" outlineLevel="0" collapsed="false">
      <c r="A27" s="0" t="n">
        <f aca="false">IF(Puantaj!AC8="","",DAY(Puantaj!AC8))</f>
        <v>26</v>
      </c>
      <c r="B27" s="0" t="n">
        <f aca="false">IF(Puantaj!AC8="",0,Puantaj!AC41)</f>
        <v>28</v>
      </c>
      <c r="C27" s="0" t="n">
        <f aca="false">IF(Puantaj!AC8="",0,IF(WEEKDAY(Puantaj!AC8,2)=7,0,COUNTA(Puantaj!$A$11:$A$40)))</f>
        <v>30</v>
      </c>
      <c r="H27" s="0" t="str">
        <f aca="false">Puantaj!B36</f>
        <v>Ali Vural</v>
      </c>
      <c r="I27" s="91" t="n">
        <f aca="false">Puantaj!AK36</f>
        <v>7</v>
      </c>
      <c r="J27" s="0" t="n">
        <f aca="false">I27+ROW()/100000</f>
        <v>7.00027</v>
      </c>
      <c r="S27" s="0" t="n">
        <f aca="false">S26+((Puantaj!$AR36&lt;&gt;"")*1)</f>
        <v>4</v>
      </c>
    </row>
    <row r="28" customFormat="false" ht="15" hidden="false" customHeight="false" outlineLevel="0" collapsed="false">
      <c r="A28" s="0" t="n">
        <f aca="false">IF(Puantaj!AD8="","",DAY(Puantaj!AD8))</f>
        <v>27</v>
      </c>
      <c r="B28" s="0" t="n">
        <f aca="false">IF(Puantaj!AD8="",0,Puantaj!AD41)</f>
        <v>28</v>
      </c>
      <c r="C28" s="0" t="n">
        <f aca="false">IF(Puantaj!AD8="",0,IF(WEEKDAY(Puantaj!AD8,2)=7,0,COUNTA(Puantaj!$A$11:$A$40)))</f>
        <v>30</v>
      </c>
      <c r="H28" s="0" t="str">
        <f aca="false">Puantaj!B37</f>
        <v>Ceren Sarı</v>
      </c>
      <c r="I28" s="91" t="n">
        <f aca="false">Puantaj!AK37</f>
        <v>13</v>
      </c>
      <c r="J28" s="0" t="n">
        <f aca="false">I28+ROW()/100000</f>
        <v>13.00028</v>
      </c>
      <c r="S28" s="0" t="n">
        <f aca="false">S27+((Puantaj!$AR37&lt;&gt;"")*1)</f>
        <v>4</v>
      </c>
    </row>
    <row r="29" customFormat="false" ht="15" hidden="false" customHeight="false" outlineLevel="0" collapsed="false">
      <c r="A29" s="0" t="n">
        <f aca="false">IF(Puantaj!AE8="","",DAY(Puantaj!AE8))</f>
        <v>28</v>
      </c>
      <c r="B29" s="0" t="n">
        <f aca="false">IF(Puantaj!AE8="",0,Puantaj!AE41)</f>
        <v>30</v>
      </c>
      <c r="C29" s="0" t="n">
        <f aca="false">IF(Puantaj!AE8="",0,IF(WEEKDAY(Puantaj!AE8,2)=7,0,COUNTA(Puantaj!$A$11:$A$40)))</f>
        <v>30</v>
      </c>
      <c r="H29" s="0" t="str">
        <f aca="false">Puantaj!B38</f>
        <v>Deniz Koru</v>
      </c>
      <c r="I29" s="91" t="n">
        <f aca="false">Puantaj!AK38</f>
        <v>20</v>
      </c>
      <c r="J29" s="0" t="n">
        <f aca="false">I29+ROW()/100000</f>
        <v>20.00029</v>
      </c>
      <c r="S29" s="0" t="n">
        <f aca="false">S28+((Puantaj!$AR38&lt;&gt;"")*1)</f>
        <v>4</v>
      </c>
    </row>
    <row r="30" customFormat="false" ht="15" hidden="false" customHeight="false" outlineLevel="0" collapsed="false">
      <c r="A30" s="0" t="n">
        <f aca="false">IF(Puantaj!AF8="","",DAY(Puantaj!AF8))</f>
        <v>29</v>
      </c>
      <c r="B30" s="0" t="n">
        <f aca="false">IF(Puantaj!AF8="",0,Puantaj!AF41)</f>
        <v>0</v>
      </c>
      <c r="C30" s="0" t="n">
        <f aca="false">IF(Puantaj!AF8="",0,IF(WEEKDAY(Puantaj!AF8,2)=7,0,COUNTA(Puantaj!$A$11:$A$40)))</f>
        <v>30</v>
      </c>
      <c r="H30" s="0" t="str">
        <f aca="false">Puantaj!B39</f>
        <v>Fatma Ak</v>
      </c>
      <c r="I30" s="91" t="n">
        <f aca="false">Puantaj!AK39</f>
        <v>14</v>
      </c>
      <c r="J30" s="0" t="n">
        <f aca="false">I30+ROW()/100000</f>
        <v>14.0003</v>
      </c>
      <c r="S30" s="0" t="n">
        <f aca="false">S29+((Puantaj!$AR39&lt;&gt;"")*1)</f>
        <v>5</v>
      </c>
    </row>
    <row r="31" customFormat="false" ht="15" hidden="false" customHeight="false" outlineLevel="0" collapsed="false">
      <c r="A31" s="0" t="n">
        <f aca="false">IF(Puantaj!AG8="","",DAY(Puantaj!AG8))</f>
        <v>30</v>
      </c>
      <c r="B31" s="0" t="n">
        <f aca="false">IF(Puantaj!AG8="",0,Puantaj!AG41)</f>
        <v>30</v>
      </c>
      <c r="C31" s="0" t="n">
        <f aca="false">IF(Puantaj!AG8="",0,IF(WEEKDAY(Puantaj!AG8,2)=7,0,COUNTA(Puantaj!$A$11:$A$40)))</f>
        <v>30</v>
      </c>
      <c r="H31" s="0" t="str">
        <f aca="false">Puantaj!B40</f>
        <v>Halil Öz</v>
      </c>
      <c r="I31" s="91" t="n">
        <f aca="false">Puantaj!AK40</f>
        <v>18</v>
      </c>
      <c r="J31" s="0" t="n">
        <f aca="false">I31+ROW()/100000</f>
        <v>18.00031</v>
      </c>
      <c r="S31" s="0" t="n">
        <f aca="false">S30+((Puantaj!$AR40&lt;&gt;"")*1)</f>
        <v>5</v>
      </c>
    </row>
    <row r="32" customFormat="false" ht="15" hidden="false" customHeight="false" outlineLevel="0" collapsed="false">
      <c r="A32" s="0" t="n">
        <f aca="false">IF(Puantaj!AH8="","",DAY(Puantaj!AH8))</f>
        <v>31</v>
      </c>
      <c r="B32" s="0" t="n">
        <f aca="false">IF(Puantaj!AH8="",0,Puantaj!AH41)</f>
        <v>23</v>
      </c>
      <c r="C32" s="0" t="n">
        <f aca="false">IF(Puantaj!AH8="",0,IF(WEEKDAY(Puantaj!AH8,2)=7,0,COUNTA(Puantaj!$A$11:$A$40)))</f>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2026-10-28T11:40:21Z</dcterms:created>
  <dc:creator>openpyxl</dc:creator>
  <dc:description/>
  <dc:language>en-US</dc:language>
  <cp:lastModifiedBy/>
  <dcterms:modified xsi:type="dcterms:W3CDTF">2026-10-28T14:40:36Z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